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ENIKI\Informativni izračuni\2025\"/>
    </mc:Choice>
  </mc:AlternateContent>
  <xr:revisionPtr revIDLastSave="0" documentId="13_ncr:1_{F175961A-E6DA-492C-B877-206E360297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DA" sheetId="1" r:id="rId1"/>
  </sheets>
  <definedNames>
    <definedName name="_xlnm._FilterDatabase" localSheetId="0" hidden="1">VODA!$L$12:$L$28</definedName>
  </definedNames>
  <calcPr calcId="191029"/>
</workbook>
</file>

<file path=xl/calcChain.xml><?xml version="1.0" encoding="utf-8"?>
<calcChain xmlns="http://schemas.openxmlformats.org/spreadsheetml/2006/main">
  <c r="AI15" i="1" l="1"/>
  <c r="AI16" i="1"/>
  <c r="AI17" i="1"/>
  <c r="AI18" i="1"/>
  <c r="AI19" i="1"/>
  <c r="AI20" i="1"/>
  <c r="AI21" i="1"/>
  <c r="AI22" i="1"/>
  <c r="AI23" i="1"/>
  <c r="AI14" i="1"/>
  <c r="E30" i="1"/>
  <c r="Q30" i="1"/>
  <c r="U3" i="1" l="1"/>
  <c r="S8" i="1"/>
  <c r="R10" i="1"/>
  <c r="S10" i="1"/>
  <c r="T13" i="1" l="1"/>
  <c r="W10" i="1"/>
  <c r="V10" i="1"/>
  <c r="R13" i="1"/>
  <c r="S11" i="1"/>
  <c r="T10" i="1"/>
  <c r="P11" i="1" s="1"/>
  <c r="U17" i="1" l="1"/>
  <c r="U25" i="1"/>
  <c r="U27" i="1"/>
  <c r="U14" i="1"/>
  <c r="U22" i="1"/>
  <c r="U15" i="1"/>
  <c r="U23" i="1"/>
  <c r="U16" i="1"/>
  <c r="U24" i="1"/>
  <c r="U18" i="1"/>
  <c r="U26" i="1"/>
  <c r="U19" i="1"/>
  <c r="U20" i="1"/>
  <c r="U28" i="1"/>
  <c r="U21" i="1"/>
  <c r="S15" i="1"/>
  <c r="S23" i="1"/>
  <c r="S18" i="1"/>
  <c r="S19" i="1"/>
  <c r="S21" i="1"/>
  <c r="S14" i="1"/>
  <c r="S22" i="1"/>
  <c r="S16" i="1"/>
  <c r="S24" i="1"/>
  <c r="S25" i="1"/>
  <c r="S26" i="1"/>
  <c r="S27" i="1"/>
  <c r="S28" i="1"/>
  <c r="S17" i="1"/>
  <c r="S20" i="1"/>
  <c r="V14" i="1"/>
  <c r="V18" i="1"/>
  <c r="V22" i="1"/>
  <c r="V26" i="1"/>
  <c r="U13" i="1"/>
  <c r="V21" i="1"/>
  <c r="V13" i="1"/>
  <c r="V15" i="1"/>
  <c r="V19" i="1"/>
  <c r="V23" i="1"/>
  <c r="V27" i="1"/>
  <c r="V17" i="1"/>
  <c r="V25" i="1"/>
  <c r="V16" i="1"/>
  <c r="V20" i="1"/>
  <c r="V24" i="1"/>
  <c r="V28" i="1"/>
  <c r="S13" i="1"/>
  <c r="T31" i="1"/>
  <c r="R8" i="1"/>
  <c r="D23" i="1" l="1"/>
  <c r="D25" i="1"/>
  <c r="F25" i="1" s="1"/>
  <c r="T32" i="1"/>
  <c r="T16" i="1"/>
  <c r="B20" i="1"/>
  <c r="F13" i="1"/>
  <c r="D27" i="1"/>
  <c r="F27" i="1" s="1"/>
  <c r="D26" i="1"/>
  <c r="E26" i="1" s="1"/>
  <c r="D24" i="1"/>
  <c r="E24" i="1" s="1"/>
  <c r="D30" i="1"/>
  <c r="Q31" i="1"/>
  <c r="D22" i="1"/>
  <c r="F22" i="1" s="1"/>
  <c r="E22" i="1" l="1"/>
  <c r="E23" i="1"/>
  <c r="F23" i="1"/>
  <c r="G26" i="1"/>
  <c r="I26" i="1" s="1"/>
  <c r="G24" i="1"/>
  <c r="R22" i="1"/>
  <c r="G30" i="1"/>
  <c r="I30" i="1" s="1"/>
  <c r="R27" i="1"/>
  <c r="T27" i="1"/>
  <c r="T15" i="1"/>
  <c r="T21" i="1"/>
  <c r="T18" i="1"/>
  <c r="R23" i="1"/>
  <c r="T26" i="1"/>
  <c r="R26" i="1"/>
  <c r="T25" i="1"/>
  <c r="T24" i="1"/>
  <c r="T19" i="1"/>
  <c r="T28" i="1"/>
  <c r="T14" i="1"/>
  <c r="R24" i="1"/>
  <c r="R20" i="1"/>
  <c r="T23" i="1"/>
  <c r="T22" i="1"/>
  <c r="T20" i="1"/>
  <c r="T17" i="1"/>
  <c r="R17" i="1"/>
  <c r="R18" i="1"/>
  <c r="D29" i="1"/>
  <c r="E29" i="1" s="1"/>
  <c r="D28" i="1"/>
  <c r="R21" i="1"/>
  <c r="R16" i="1"/>
  <c r="R25" i="1"/>
  <c r="R19" i="1"/>
  <c r="R28" i="1"/>
  <c r="R15" i="1"/>
  <c r="E25" i="1" l="1"/>
  <c r="G25" i="1" s="1"/>
  <c r="I25" i="1" s="1"/>
  <c r="G22" i="1"/>
  <c r="I22" i="1" s="1"/>
  <c r="G23" i="1"/>
  <c r="I23" i="1" s="1"/>
  <c r="E28" i="1"/>
  <c r="G28" i="1" s="1"/>
  <c r="H28" i="1" s="1"/>
  <c r="E27" i="1"/>
  <c r="G27" i="1" s="1"/>
  <c r="H27" i="1" s="1"/>
  <c r="H24" i="1"/>
  <c r="I24" i="1"/>
  <c r="H26" i="1"/>
  <c r="G29" i="1"/>
  <c r="I28" i="1" l="1"/>
  <c r="H22" i="1"/>
  <c r="H23" i="1"/>
  <c r="H25" i="1"/>
  <c r="I27" i="1"/>
  <c r="I29" i="1"/>
  <c r="H29" i="1"/>
  <c r="G31" i="1"/>
  <c r="I31" i="1" l="1"/>
</calcChain>
</file>

<file path=xl/sharedStrings.xml><?xml version="1.0" encoding="utf-8"?>
<sst xmlns="http://schemas.openxmlformats.org/spreadsheetml/2006/main" count="246" uniqueCount="119">
  <si>
    <t>Priključeni na</t>
  </si>
  <si>
    <t>da</t>
  </si>
  <si>
    <t>Moč vodomera</t>
  </si>
  <si>
    <t>DN 13</t>
  </si>
  <si>
    <t>DN 20</t>
  </si>
  <si>
    <t>DN 25</t>
  </si>
  <si>
    <t>DN 40</t>
  </si>
  <si>
    <t>DN 50</t>
  </si>
  <si>
    <t>DN 80</t>
  </si>
  <si>
    <t>DN 100</t>
  </si>
  <si>
    <t>DN 150</t>
  </si>
  <si>
    <t>vodarina</t>
  </si>
  <si>
    <t>odvajanje</t>
  </si>
  <si>
    <t>7011</t>
  </si>
  <si>
    <t>ŠTEVNINA DN 15</t>
  </si>
  <si>
    <t>7021</t>
  </si>
  <si>
    <t>ŠTEVNINA DN 20</t>
  </si>
  <si>
    <t>7031, 7041</t>
  </si>
  <si>
    <t>ŠTEVNINA DN 25, 30</t>
  </si>
  <si>
    <t>7051</t>
  </si>
  <si>
    <t>ŠTEVNINA DN 40</t>
  </si>
  <si>
    <t>7061, 7071, 7711</t>
  </si>
  <si>
    <t>ŠTEVNINA DN 50, 65, 50/20</t>
  </si>
  <si>
    <t>7081, 7721</t>
  </si>
  <si>
    <t>ŠTEVNINA DN 80, 80/20</t>
  </si>
  <si>
    <t>7091, 7731</t>
  </si>
  <si>
    <t>ŠTEVNINA DN 100, 100/20</t>
  </si>
  <si>
    <t>7101, 7741</t>
  </si>
  <si>
    <t>ŠTEVNINA DN 150, 150/20</t>
  </si>
  <si>
    <t>Stolpec1</t>
  </si>
  <si>
    <t>ne</t>
  </si>
  <si>
    <t>mesec</t>
  </si>
  <si>
    <t>čiščenje</t>
  </si>
  <si>
    <t>dimenzija števca</t>
  </si>
  <si>
    <t xml:space="preserve">50/20 </t>
  </si>
  <si>
    <t xml:space="preserve">80/20 </t>
  </si>
  <si>
    <t xml:space="preserve">100/20 </t>
  </si>
  <si>
    <t xml:space="preserve">150/40 </t>
  </si>
  <si>
    <t>priključeni</t>
  </si>
  <si>
    <t>okoljska daj</t>
  </si>
  <si>
    <t>Mestna občina Kranj</t>
  </si>
  <si>
    <t>Količina porabljene vode</t>
  </si>
  <si>
    <t>MOK</t>
  </si>
  <si>
    <t>Šenčur</t>
  </si>
  <si>
    <t>Naklo</t>
  </si>
  <si>
    <t>Cerklje</t>
  </si>
  <si>
    <t>Preddvor</t>
  </si>
  <si>
    <t>Jezersko</t>
  </si>
  <si>
    <t>DN 15</t>
  </si>
  <si>
    <t>DN 30</t>
  </si>
  <si>
    <t>DN 65</t>
  </si>
  <si>
    <t>DN 50/20</t>
  </si>
  <si>
    <t>DN 80/20</t>
  </si>
  <si>
    <t>DN 100/20</t>
  </si>
  <si>
    <t>DN 200</t>
  </si>
  <si>
    <t>omrežnina in števnina</t>
  </si>
  <si>
    <t>Faktor omrežnine</t>
  </si>
  <si>
    <t>Dimenzija števca</t>
  </si>
  <si>
    <t>Obvezno izpolnite vsa polja.</t>
  </si>
  <si>
    <t>Vrsta uporabnika</t>
  </si>
  <si>
    <t>uporabnik</t>
  </si>
  <si>
    <t>gospodinjstvo</t>
  </si>
  <si>
    <t>DN 150/40</t>
  </si>
  <si>
    <t>mala ČN</t>
  </si>
  <si>
    <t>kanalizacijo (da, ne, mala ČN)</t>
  </si>
  <si>
    <t>okoljs.dajatev</t>
  </si>
  <si>
    <t>pridobitna dejavnost</t>
  </si>
  <si>
    <t>Občina Šenčur</t>
  </si>
  <si>
    <t>Občina Naklo</t>
  </si>
  <si>
    <t>Občina Preddvor</t>
  </si>
  <si>
    <t>Občina Jezersko</t>
  </si>
  <si>
    <t>Cerklje na Gorenjskem</t>
  </si>
  <si>
    <t>Občina</t>
  </si>
  <si>
    <t>vodarina jezersko</t>
  </si>
  <si>
    <t>omrežnina grezn, mčn</t>
  </si>
  <si>
    <t>Prevzem blata</t>
  </si>
  <si>
    <t>Podatek o moči vodomera najdete na računih v nazivu storitve omrežnina.</t>
  </si>
  <si>
    <t>Medvode</t>
  </si>
  <si>
    <t>Mestna občina Kranj, Medvode, Cerklje, Šenčur, Naklo, Preddvor, Jezersko</t>
  </si>
  <si>
    <t>Cerklje - ČN Češnjevek</t>
  </si>
  <si>
    <t>Cerklje - ČN Domžale</t>
  </si>
  <si>
    <t>0,1902</t>
  </si>
  <si>
    <t>V spodnjih okenčkih izberite oz. vpišite podatke o količini porabljene vode, ali ste priključeni na kanalizacijo in dimenzijo števca.</t>
  </si>
  <si>
    <r>
      <t>m</t>
    </r>
    <r>
      <rPr>
        <vertAlign val="superscript"/>
        <sz val="9"/>
        <rFont val="Roboto Light"/>
      </rPr>
      <t>3</t>
    </r>
  </si>
  <si>
    <t>Količina</t>
  </si>
  <si>
    <t>Enota</t>
  </si>
  <si>
    <t>Vrednost brez DDV</t>
  </si>
  <si>
    <t>poslovna dejav.</t>
  </si>
  <si>
    <t>Izračun mesečnih stroškov oskrbe s pitno vodo ter odvajanja in čiščenja odpadnih voda</t>
  </si>
  <si>
    <t>omr voda</t>
  </si>
  <si>
    <t>omr voda s subven</t>
  </si>
  <si>
    <t>Preddvor-sub</t>
  </si>
  <si>
    <t>čiščenje-sub</t>
  </si>
  <si>
    <t>odvajanje-sub</t>
  </si>
  <si>
    <t>Jezersko-sub</t>
  </si>
  <si>
    <t>Naklo-sub</t>
  </si>
  <si>
    <t>vodarina-sub</t>
  </si>
  <si>
    <t>Cena 
brez DDV</t>
  </si>
  <si>
    <t>Stopnja DDV</t>
  </si>
  <si>
    <t>Vrednost 
z DDV</t>
  </si>
  <si>
    <t>Subvencija 
brez DDV</t>
  </si>
  <si>
    <t>omr s poračunom</t>
  </si>
  <si>
    <t>Prevzem blata in ravnanje z blatom</t>
  </si>
  <si>
    <t>Omrežnina čiščenje grezn., mčn</t>
  </si>
  <si>
    <t>Okoljska dajatev</t>
  </si>
  <si>
    <t>Skupaj stroški</t>
  </si>
  <si>
    <t>MOK-sub</t>
  </si>
  <si>
    <t>voda sub</t>
  </si>
  <si>
    <t>Vodarina</t>
  </si>
  <si>
    <t>Omrežnina voda</t>
  </si>
  <si>
    <t>Odvajanje</t>
  </si>
  <si>
    <t>Omrežnina odvajanje</t>
  </si>
  <si>
    <t>Čiščenje</t>
  </si>
  <si>
    <t>Omrežnina čiščenje</t>
  </si>
  <si>
    <t>0,0000</t>
  </si>
  <si>
    <t>0,5461</t>
  </si>
  <si>
    <t>0,4969</t>
  </si>
  <si>
    <t>0,1797</t>
  </si>
  <si>
    <t>0,6366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</si>
</sst>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13" x14ac:knownFonts="1">
    <font>
      <sz val="8"/>
      <name val="Century"/>
      <charset val="238"/>
    </font>
    <font>
      <sz val="14"/>
      <name val="Roboto Light"/>
    </font>
    <font>
      <sz val="8"/>
      <name val="Roboto Light"/>
    </font>
    <font>
      <b/>
      <sz val="14"/>
      <name val="Roboto Light"/>
    </font>
    <font>
      <sz val="8"/>
      <color indexed="10"/>
      <name val="Roboto Light"/>
    </font>
    <font>
      <sz val="10"/>
      <name val="Roboto Light"/>
    </font>
    <font>
      <b/>
      <sz val="10"/>
      <name val="Roboto Light"/>
    </font>
    <font>
      <b/>
      <sz val="8"/>
      <name val="Roboto Light"/>
    </font>
    <font>
      <b/>
      <sz val="9"/>
      <name val="Roboto Light"/>
    </font>
    <font>
      <vertAlign val="superscript"/>
      <sz val="9"/>
      <name val="Roboto Light"/>
    </font>
    <font>
      <b/>
      <sz val="20"/>
      <color rgb="FF005AAA"/>
      <name val="Roboto Light"/>
    </font>
    <font>
      <b/>
      <sz val="12"/>
      <color rgb="FF32B455"/>
      <name val="Roboto Light"/>
    </font>
    <font>
      <sz val="10"/>
      <color rgb="FF005AAA"/>
      <name val="Roboto Light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2" fillId="4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2" fillId="0" borderId="3" xfId="0" applyFont="1" applyBorder="1"/>
    <xf numFmtId="4" fontId="2" fillId="0" borderId="2" xfId="0" applyNumberFormat="1" applyFont="1" applyBorder="1"/>
    <xf numFmtId="3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4" fontId="2" fillId="0" borderId="4" xfId="0" applyNumberFormat="1" applyFont="1" applyBorder="1"/>
    <xf numFmtId="164" fontId="2" fillId="0" borderId="2" xfId="0" applyNumberFormat="1" applyFont="1" applyBorder="1"/>
    <xf numFmtId="0" fontId="2" fillId="0" borderId="0" xfId="0" applyFont="1"/>
    <xf numFmtId="3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 applyProtection="1">
      <protection hidden="1"/>
    </xf>
    <xf numFmtId="164" fontId="2" fillId="0" borderId="4" xfId="0" applyNumberFormat="1" applyFont="1" applyBorder="1"/>
    <xf numFmtId="4" fontId="2" fillId="5" borderId="4" xfId="0" applyNumberFormat="1" applyFont="1" applyFill="1" applyBorder="1"/>
    <xf numFmtId="4" fontId="2" fillId="0" borderId="4" xfId="0" applyNumberFormat="1" applyFont="1" applyBorder="1" applyAlignment="1">
      <alignment horizontal="left"/>
    </xf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left"/>
    </xf>
    <xf numFmtId="0" fontId="2" fillId="0" borderId="5" xfId="0" applyFont="1" applyBorder="1"/>
    <xf numFmtId="4" fontId="2" fillId="0" borderId="5" xfId="0" applyNumberFormat="1" applyFont="1" applyBorder="1" applyProtection="1">
      <protection hidden="1"/>
    </xf>
    <xf numFmtId="0" fontId="6" fillId="2" borderId="0" xfId="0" applyFont="1" applyFill="1" applyProtection="1">
      <protection hidden="1"/>
    </xf>
    <xf numFmtId="0" fontId="2" fillId="2" borderId="1" xfId="0" applyFont="1" applyFill="1" applyBorder="1"/>
    <xf numFmtId="165" fontId="7" fillId="2" borderId="1" xfId="0" applyNumberFormat="1" applyFont="1" applyFill="1" applyBorder="1"/>
    <xf numFmtId="4" fontId="2" fillId="2" borderId="1" xfId="0" applyNumberFormat="1" applyFont="1" applyFill="1" applyBorder="1"/>
    <xf numFmtId="165" fontId="2" fillId="2" borderId="1" xfId="0" applyNumberFormat="1" applyFont="1" applyFill="1" applyBorder="1"/>
    <xf numFmtId="0" fontId="7" fillId="2" borderId="0" xfId="0" applyFont="1" applyFill="1"/>
    <xf numFmtId="0" fontId="7" fillId="2" borderId="6" xfId="0" applyFont="1" applyFill="1" applyBorder="1"/>
    <xf numFmtId="165" fontId="7" fillId="2" borderId="8" xfId="0" applyNumberFormat="1" applyFont="1" applyFill="1" applyBorder="1"/>
    <xf numFmtId="0" fontId="2" fillId="2" borderId="8" xfId="0" applyFont="1" applyFill="1" applyBorder="1"/>
    <xf numFmtId="165" fontId="2" fillId="2" borderId="7" xfId="0" applyNumberFormat="1" applyFont="1" applyFill="1" applyBorder="1"/>
    <xf numFmtId="0" fontId="2" fillId="2" borderId="7" xfId="0" applyFont="1" applyFill="1" applyBorder="1"/>
    <xf numFmtId="0" fontId="7" fillId="2" borderId="7" xfId="0" applyFont="1" applyFill="1" applyBorder="1"/>
    <xf numFmtId="0" fontId="7" fillId="2" borderId="1" xfId="0" applyFont="1" applyFill="1" applyBorder="1"/>
    <xf numFmtId="0" fontId="2" fillId="2" borderId="3" xfId="0" applyFont="1" applyFill="1" applyBorder="1"/>
    <xf numFmtId="4" fontId="5" fillId="2" borderId="0" xfId="0" applyNumberFormat="1" applyFont="1" applyFill="1"/>
    <xf numFmtId="2" fontId="2" fillId="2" borderId="8" xfId="0" applyNumberFormat="1" applyFont="1" applyFill="1" applyBorder="1"/>
    <xf numFmtId="10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12" fillId="2" borderId="0" xfId="0" applyFont="1" applyFill="1"/>
    <xf numFmtId="0" fontId="6" fillId="4" borderId="9" xfId="0" applyFont="1" applyFill="1" applyBorder="1" applyAlignment="1" applyProtection="1">
      <alignment vertical="center"/>
      <protection hidden="1"/>
    </xf>
    <xf numFmtId="0" fontId="6" fillId="4" borderId="10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8" fillId="4" borderId="9" xfId="0" applyFont="1" applyFill="1" applyBorder="1" applyAlignment="1" applyProtection="1">
      <alignment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Protection="1">
      <protection hidden="1"/>
    </xf>
    <xf numFmtId="0" fontId="2" fillId="2" borderId="13" xfId="0" applyFont="1" applyFill="1" applyBorder="1" applyProtection="1">
      <protection hidden="1"/>
    </xf>
    <xf numFmtId="165" fontId="5" fillId="2" borderId="13" xfId="0" applyNumberFormat="1" applyFont="1" applyFill="1" applyBorder="1" applyAlignment="1" applyProtection="1">
      <alignment horizontal="left"/>
      <protection hidden="1"/>
    </xf>
    <xf numFmtId="0" fontId="5" fillId="2" borderId="14" xfId="0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5" fillId="2" borderId="15" xfId="0" applyFont="1" applyFill="1" applyBorder="1" applyAlignment="1" applyProtection="1">
      <alignment horizontal="left"/>
      <protection hidden="1"/>
    </xf>
    <xf numFmtId="165" fontId="5" fillId="2" borderId="15" xfId="0" applyNumberFormat="1" applyFont="1" applyFill="1" applyBorder="1" applyAlignment="1" applyProtection="1">
      <alignment horizontal="left"/>
      <protection hidden="1"/>
    </xf>
    <xf numFmtId="4" fontId="5" fillId="2" borderId="13" xfId="0" applyNumberFormat="1" applyFont="1" applyFill="1" applyBorder="1" applyAlignment="1" applyProtection="1">
      <alignment horizontal="left"/>
      <protection hidden="1"/>
    </xf>
    <xf numFmtId="10" fontId="5" fillId="2" borderId="13" xfId="0" applyNumberFormat="1" applyFont="1" applyFill="1" applyBorder="1" applyAlignment="1" applyProtection="1">
      <alignment horizontal="left"/>
      <protection hidden="1"/>
    </xf>
    <xf numFmtId="4" fontId="6" fillId="2" borderId="16" xfId="0" applyNumberFormat="1" applyFont="1" applyFill="1" applyBorder="1" applyAlignment="1" applyProtection="1">
      <alignment horizontal="left"/>
      <protection hidden="1"/>
    </xf>
    <xf numFmtId="4" fontId="5" fillId="2" borderId="15" xfId="0" applyNumberFormat="1" applyFont="1" applyFill="1" applyBorder="1" applyAlignment="1" applyProtection="1">
      <alignment horizontal="left"/>
      <protection hidden="1"/>
    </xf>
    <xf numFmtId="10" fontId="5" fillId="2" borderId="15" xfId="0" applyNumberFormat="1" applyFont="1" applyFill="1" applyBorder="1" applyAlignment="1" applyProtection="1">
      <alignment horizontal="left"/>
      <protection hidden="1"/>
    </xf>
    <xf numFmtId="4" fontId="6" fillId="2" borderId="17" xfId="0" applyNumberFormat="1" applyFont="1" applyFill="1" applyBorder="1" applyAlignment="1" applyProtection="1">
      <alignment horizontal="left"/>
      <protection hidden="1"/>
    </xf>
    <xf numFmtId="0" fontId="5" fillId="2" borderId="18" xfId="0" applyFont="1" applyFill="1" applyBorder="1" applyProtection="1">
      <protection hidden="1"/>
    </xf>
    <xf numFmtId="0" fontId="2" fillId="2" borderId="19" xfId="0" applyFont="1" applyFill="1" applyBorder="1" applyProtection="1">
      <protection hidden="1"/>
    </xf>
    <xf numFmtId="0" fontId="5" fillId="2" borderId="19" xfId="0" applyFont="1" applyFill="1" applyBorder="1" applyAlignment="1" applyProtection="1">
      <alignment horizontal="left"/>
      <protection hidden="1"/>
    </xf>
    <xf numFmtId="0" fontId="6" fillId="4" borderId="20" xfId="0" applyFont="1" applyFill="1" applyBorder="1" applyAlignment="1" applyProtection="1">
      <alignment horizontal="left" vertical="center"/>
      <protection hidden="1"/>
    </xf>
    <xf numFmtId="0" fontId="5" fillId="4" borderId="21" xfId="0" applyFont="1" applyFill="1" applyBorder="1" applyAlignment="1" applyProtection="1">
      <alignment horizontal="left" vertical="center"/>
      <protection hidden="1"/>
    </xf>
    <xf numFmtId="4" fontId="5" fillId="2" borderId="19" xfId="0" applyNumberFormat="1" applyFont="1" applyFill="1" applyBorder="1" applyAlignment="1" applyProtection="1">
      <alignment horizontal="left"/>
      <protection hidden="1"/>
    </xf>
    <xf numFmtId="10" fontId="5" fillId="2" borderId="19" xfId="0" applyNumberFormat="1" applyFont="1" applyFill="1" applyBorder="1" applyAlignment="1" applyProtection="1">
      <alignment horizontal="left"/>
      <protection hidden="1"/>
    </xf>
    <xf numFmtId="4" fontId="6" fillId="2" borderId="22" xfId="0" applyNumberFormat="1" applyFont="1" applyFill="1" applyBorder="1" applyAlignment="1" applyProtection="1">
      <alignment horizontal="left"/>
      <protection hidden="1"/>
    </xf>
    <xf numFmtId="4" fontId="6" fillId="4" borderId="21" xfId="0" applyNumberFormat="1" applyFont="1" applyFill="1" applyBorder="1" applyAlignment="1" applyProtection="1">
      <alignment horizontal="left" vertical="center"/>
      <protection hidden="1"/>
    </xf>
    <xf numFmtId="4" fontId="6" fillId="4" borderId="23" xfId="0" applyNumberFormat="1" applyFont="1" applyFill="1" applyBorder="1" applyAlignment="1" applyProtection="1">
      <alignment horizontal="left" vertical="center"/>
      <protection hidden="1"/>
    </xf>
    <xf numFmtId="1" fontId="5" fillId="2" borderId="13" xfId="0" applyNumberFormat="1" applyFont="1" applyFill="1" applyBorder="1" applyAlignment="1" applyProtection="1">
      <alignment horizontal="left"/>
      <protection hidden="1"/>
    </xf>
    <xf numFmtId="2" fontId="5" fillId="2" borderId="15" xfId="0" applyNumberFormat="1" applyFont="1" applyFill="1" applyBorder="1" applyAlignment="1" applyProtection="1">
      <alignment horizontal="left"/>
      <protection hidden="1"/>
    </xf>
    <xf numFmtId="2" fontId="5" fillId="2" borderId="19" xfId="0" applyNumberFormat="1" applyFont="1" applyFill="1" applyBorder="1" applyAlignment="1" applyProtection="1">
      <alignment horizontal="left"/>
      <protection hidden="1"/>
    </xf>
    <xf numFmtId="0" fontId="5" fillId="2" borderId="13" xfId="0" applyFont="1" applyFill="1" applyBorder="1" applyAlignment="1" applyProtection="1">
      <alignment horizontal="left"/>
      <protection hidden="1"/>
    </xf>
    <xf numFmtId="0" fontId="5" fillId="2" borderId="20" xfId="0" applyFont="1" applyFill="1" applyBorder="1" applyProtection="1">
      <protection hidden="1"/>
    </xf>
    <xf numFmtId="0" fontId="2" fillId="2" borderId="21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left"/>
      <protection hidden="1"/>
    </xf>
    <xf numFmtId="165" fontId="5" fillId="2" borderId="21" xfId="0" applyNumberFormat="1" applyFont="1" applyFill="1" applyBorder="1" applyAlignment="1" applyProtection="1">
      <alignment horizontal="left"/>
      <protection hidden="1"/>
    </xf>
    <xf numFmtId="4" fontId="5" fillId="2" borderId="21" xfId="0" applyNumberFormat="1" applyFont="1" applyFill="1" applyBorder="1" applyAlignment="1" applyProtection="1">
      <alignment horizontal="left"/>
      <protection hidden="1"/>
    </xf>
    <xf numFmtId="10" fontId="5" fillId="2" borderId="21" xfId="0" applyNumberFormat="1" applyFont="1" applyFill="1" applyBorder="1" applyAlignment="1" applyProtection="1">
      <alignment horizontal="left"/>
      <protection hidden="1"/>
    </xf>
    <xf numFmtId="4" fontId="6" fillId="2" borderId="23" xfId="0" applyNumberFormat="1" applyFont="1" applyFill="1" applyBorder="1" applyAlignment="1" applyProtection="1">
      <alignment horizontal="left"/>
      <protection hidden="1"/>
    </xf>
    <xf numFmtId="2" fontId="2" fillId="2" borderId="1" xfId="0" applyNumberFormat="1" applyFont="1" applyFill="1" applyBorder="1"/>
    <xf numFmtId="2" fontId="5" fillId="2" borderId="13" xfId="0" applyNumberFormat="1" applyFont="1" applyFill="1" applyBorder="1" applyAlignment="1" applyProtection="1">
      <alignment horizontal="left"/>
      <protection hidden="1"/>
    </xf>
    <xf numFmtId="2" fontId="2" fillId="2" borderId="0" xfId="0" applyNumberFormat="1" applyFont="1" applyFill="1"/>
    <xf numFmtId="165" fontId="2" fillId="6" borderId="1" xfId="0" applyNumberFormat="1" applyFont="1" applyFill="1" applyBorder="1"/>
    <xf numFmtId="4" fontId="2" fillId="6" borderId="4" xfId="0" applyNumberFormat="1" applyFont="1" applyFill="1" applyBorder="1"/>
    <xf numFmtId="4" fontId="2" fillId="6" borderId="5" xfId="0" applyNumberFormat="1" applyFont="1" applyFill="1" applyBorder="1"/>
    <xf numFmtId="0" fontId="2" fillId="6" borderId="0" xfId="0" applyFont="1" applyFill="1"/>
    <xf numFmtId="164" fontId="5" fillId="2" borderId="13" xfId="0" applyNumberFormat="1" applyFont="1" applyFill="1" applyBorder="1" applyAlignment="1" applyProtection="1">
      <alignment horizontal="left"/>
      <protection hidden="1"/>
    </xf>
    <xf numFmtId="164" fontId="7" fillId="2" borderId="7" xfId="0" applyNumberFormat="1" applyFont="1" applyFill="1" applyBorder="1"/>
    <xf numFmtId="164" fontId="2" fillId="2" borderId="8" xfId="0" applyNumberFormat="1" applyFont="1" applyFill="1" applyBorder="1"/>
    <xf numFmtId="0" fontId="7" fillId="6" borderId="1" xfId="0" applyFont="1" applyFill="1" applyBorder="1" applyProtection="1">
      <protection hidden="1"/>
    </xf>
    <xf numFmtId="4" fontId="2" fillId="6" borderId="2" xfId="0" applyNumberFormat="1" applyFont="1" applyFill="1" applyBorder="1" applyProtection="1">
      <protection hidden="1"/>
    </xf>
    <xf numFmtId="4" fontId="2" fillId="6" borderId="4" xfId="0" applyNumberFormat="1" applyFont="1" applyFill="1" applyBorder="1" applyProtection="1">
      <protection hidden="1"/>
    </xf>
    <xf numFmtId="4" fontId="2" fillId="6" borderId="5" xfId="0" applyNumberFormat="1" applyFont="1" applyFill="1" applyBorder="1" applyProtection="1">
      <protection hidden="1"/>
    </xf>
    <xf numFmtId="0" fontId="5" fillId="7" borderId="0" xfId="0" applyFont="1" applyFill="1"/>
    <xf numFmtId="0" fontId="5" fillId="8" borderId="0" xfId="0" applyFont="1" applyFill="1"/>
    <xf numFmtId="0" fontId="7" fillId="8" borderId="1" xfId="0" applyFont="1" applyFill="1" applyBorder="1"/>
    <xf numFmtId="4" fontId="2" fillId="8" borderId="4" xfId="0" applyNumberFormat="1" applyFont="1" applyFill="1" applyBorder="1"/>
    <xf numFmtId="0" fontId="6" fillId="4" borderId="10" xfId="0" applyFont="1" applyFill="1" applyBorder="1" applyAlignment="1" applyProtection="1">
      <alignment vertical="center" wrapText="1"/>
      <protection hidden="1"/>
    </xf>
    <xf numFmtId="0" fontId="6" fillId="4" borderId="11" xfId="0" applyFont="1" applyFill="1" applyBorder="1" applyAlignment="1" applyProtection="1">
      <alignment vertical="center" wrapText="1"/>
      <protection hidden="1"/>
    </xf>
    <xf numFmtId="164" fontId="2" fillId="2" borderId="1" xfId="0" applyNumberFormat="1" applyFont="1" applyFill="1" applyBorder="1"/>
    <xf numFmtId="165" fontId="7" fillId="0" borderId="7" xfId="0" applyNumberFormat="1" applyFont="1" applyBorder="1"/>
    <xf numFmtId="165" fontId="2" fillId="0" borderId="1" xfId="0" applyNumberFormat="1" applyFont="1" applyBorder="1"/>
  </cellXfs>
  <cellStyles count="1">
    <cellStyle name="Navadno" xfId="0" builtinId="0"/>
  </cellStyles>
  <dxfs count="50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charset val="238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4" formatCode="#,##0.00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5" formatCode="0.000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numFmt numFmtId="164" formatCode="#,##0.0000"/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Light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L12:L28" totalsRowShown="0" headerRowDxfId="49" dataDxfId="48" tableBorderDxfId="47">
  <autoFilter ref="L12:L28" xr:uid="{00000000-0009-0000-0100-000001000000}"/>
  <tableColumns count="1">
    <tableColumn id="1" xr3:uid="{00000000-0010-0000-0000-000001000000}" name="Moč vodomera" dataDxfId="4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List2" displayName="List2" ref="L35:L37" totalsRowShown="0" headerRowDxfId="45" dataDxfId="44">
  <autoFilter ref="L35:L37" xr:uid="{00000000-0009-0000-0100-000003000000}"/>
  <tableColumns count="1">
    <tableColumn id="1" xr3:uid="{00000000-0010-0000-0100-000001000000}" name="da" dataDxfId="4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ist3" displayName="List3" ref="L41:R49" totalsRowShown="0" headerRowDxfId="42" dataDxfId="40" headerRowBorderDxfId="41" tableBorderDxfId="39" totalsRowBorderDxfId="38">
  <tableColumns count="7">
    <tableColumn id="1" xr3:uid="{00000000-0010-0000-0200-000001000000}" name="MOK" dataDxfId="37"/>
    <tableColumn id="8" xr3:uid="{00000000-0010-0000-0200-000008000000}" name="0,5461" dataDxfId="36"/>
    <tableColumn id="9" xr3:uid="{00000000-0010-0000-0200-000009000000}" name="0,1797" dataDxfId="35"/>
    <tableColumn id="10" xr3:uid="{00000000-0010-0000-0200-00000A000000}" name="0,6366" dataDxfId="34"/>
    <tableColumn id="11" xr3:uid="{00000000-0010-0000-0200-00000B000000}" name="0,0000" dataDxfId="33"/>
    <tableColumn id="12" xr3:uid="{00000000-0010-0000-0200-00000C000000}" name="0,1902" dataDxfId="32"/>
    <tableColumn id="13" xr3:uid="{00000000-0010-0000-0200-00000D000000}" name="0,4969" dataDxfId="3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List4" displayName="List4" ref="S45:S47" totalsRowShown="0" headerRowDxfId="30" dataDxfId="29" tableBorderDxfId="28">
  <autoFilter ref="S45:S47" xr:uid="{00000000-0009-0000-0100-000002000000}"/>
  <tableColumns count="1">
    <tableColumn id="1" xr3:uid="{00000000-0010-0000-0300-000001000000}" name="uporabnik" dataDxfId="2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List321" displayName="List321" ref="L52:R60" totalsRowShown="0" headerRowDxfId="26" dataDxfId="24" headerRowBorderDxfId="25" tableBorderDxfId="23" totalsRowBorderDxfId="22">
  <tableColumns count="7">
    <tableColumn id="1" xr3:uid="{00000000-0010-0000-0400-000001000000}" name="MOK" dataDxfId="21"/>
    <tableColumn id="8" xr3:uid="{00000000-0010-0000-0400-000008000000}" name="0,5461" dataDxfId="20"/>
    <tableColumn id="9" xr3:uid="{00000000-0010-0000-0400-000009000000}" name="0,1797" dataDxfId="19"/>
    <tableColumn id="10" xr3:uid="{00000000-0010-0000-0400-00000A000000}" name="0,6366" dataDxfId="18"/>
    <tableColumn id="11" xr3:uid="{00000000-0010-0000-0400-00000B000000}" name="Stolpec1" dataDxfId="17"/>
    <tableColumn id="12" xr3:uid="{00000000-0010-0000-0400-00000C000000}" name="0,1902" dataDxfId="16"/>
    <tableColumn id="13" xr3:uid="{00000000-0010-0000-0400-00000D000000}" name="0,4969" dataDxfId="1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05000000}" name="List178" displayName="List178" ref="Z12:AI28" totalsRowShown="0" headerRowDxfId="14" dataDxfId="13" tableBorderDxfId="12">
  <tableColumns count="10">
    <tableColumn id="1" xr3:uid="{00000000-0010-0000-0500-000001000000}" name="Moč vodomera" dataDxfId="11"/>
    <tableColumn id="4" xr3:uid="{00000000-0010-0000-0500-000004000000}" name="MOK" dataDxfId="10"/>
    <tableColumn id="8" xr3:uid="{00000000-0010-0000-0500-000008000000}" name="Cerklje" dataDxfId="9"/>
    <tableColumn id="9" xr3:uid="{00000000-0010-0000-0500-000009000000}" name="MOK-sub" dataDxfId="8"/>
    <tableColumn id="10" xr3:uid="{00000000-0010-0000-0500-00000A000000}" name="Šenčur" dataDxfId="7"/>
    <tableColumn id="7" xr3:uid="{00000000-0010-0000-0500-000007000000}" name="Naklo" dataDxfId="6"/>
    <tableColumn id="5" xr3:uid="{00000000-0010-0000-0500-000005000000}" name="Preddvor" dataDxfId="5"/>
    <tableColumn id="2" xr3:uid="{8166A61F-FE84-47E3-8FCB-DC741EC83E43}" name="Preddvor-sub" dataDxfId="4"/>
    <tableColumn id="11" xr3:uid="{367D3FCB-8A70-4A87-819E-FA3769F200B8}" name="Jezersko" dataDxfId="3"/>
    <tableColumn id="6" xr3:uid="{00000000-0010-0000-0500-000006000000}" name="Jezersko-sub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W113"/>
  <sheetViews>
    <sheetView tabSelected="1" zoomScale="84" zoomScaleNormal="84" zoomScaleSheetLayoutView="110" workbookViewId="0">
      <selection activeCell="AZ17" sqref="AZ17"/>
    </sheetView>
  </sheetViews>
  <sheetFormatPr defaultColWidth="9.33203125" defaultRowHeight="12.75" x14ac:dyDescent="0.2"/>
  <cols>
    <col min="1" max="1" width="4.83203125" style="10" customWidth="1"/>
    <col min="2" max="2" width="39.5" style="10" customWidth="1"/>
    <col min="3" max="3" width="17.6640625" style="10" customWidth="1"/>
    <col min="4" max="4" width="11.33203125" style="10" customWidth="1"/>
    <col min="5" max="9" width="17.6640625" style="10" customWidth="1"/>
    <col min="10" max="10" width="12" style="10" customWidth="1"/>
    <col min="11" max="11" width="12.6640625" style="10" hidden="1" customWidth="1"/>
    <col min="12" max="12" width="24.5" style="10" hidden="1" customWidth="1"/>
    <col min="13" max="13" width="17.5" style="10" hidden="1" customWidth="1"/>
    <col min="14" max="14" width="16.33203125" style="10" hidden="1" customWidth="1"/>
    <col min="15" max="15" width="11" style="10" hidden="1" customWidth="1"/>
    <col min="16" max="16" width="18.33203125" style="10" hidden="1" customWidth="1"/>
    <col min="17" max="17" width="15.33203125" style="10" hidden="1" customWidth="1"/>
    <col min="18" max="18" width="12.5" style="10" hidden="1" customWidth="1"/>
    <col min="19" max="19" width="15.1640625" style="10" hidden="1" customWidth="1"/>
    <col min="20" max="20" width="15.6640625" style="10" hidden="1" customWidth="1"/>
    <col min="21" max="21" width="14" style="10" hidden="1" customWidth="1"/>
    <col min="22" max="22" width="14.1640625" style="10" hidden="1" customWidth="1"/>
    <col min="23" max="23" width="14.5" style="10" hidden="1" customWidth="1"/>
    <col min="24" max="25" width="9.33203125" style="10" hidden="1" customWidth="1"/>
    <col min="26" max="26" width="15.33203125" style="10" hidden="1" customWidth="1"/>
    <col min="27" max="27" width="20.83203125" style="10" hidden="1" customWidth="1"/>
    <col min="28" max="28" width="10.33203125" style="10" hidden="1" customWidth="1"/>
    <col min="29" max="30" width="9.33203125" style="10" hidden="1" customWidth="1"/>
    <col min="31" max="31" width="9.83203125" style="10" hidden="1" customWidth="1"/>
    <col min="32" max="32" width="10.1640625" style="10" hidden="1" customWidth="1"/>
    <col min="33" max="33" width="14.5" style="10" hidden="1" customWidth="1"/>
    <col min="34" max="34" width="9.33203125" style="10" hidden="1" customWidth="1"/>
    <col min="35" max="35" width="14.1640625" style="10" hidden="1" customWidth="1"/>
    <col min="36" max="36" width="9.1640625" style="10" hidden="1" customWidth="1"/>
    <col min="37" max="37" width="9.83203125" style="10" hidden="1" customWidth="1"/>
    <col min="38" max="38" width="11.1640625" style="10" hidden="1" customWidth="1"/>
    <col min="39" max="40" width="9.33203125" style="10" hidden="1" customWidth="1"/>
    <col min="41" max="41" width="14" style="10" hidden="1" customWidth="1"/>
    <col min="42" max="42" width="14.5" style="10" hidden="1" customWidth="1"/>
    <col min="43" max="43" width="9.33203125" style="10" hidden="1" customWidth="1"/>
    <col min="44" max="44" width="14.1640625" style="10" hidden="1" customWidth="1"/>
    <col min="45" max="47" width="9.33203125" style="10" hidden="1" customWidth="1"/>
    <col min="48" max="48" width="11" style="10" hidden="1" customWidth="1"/>
    <col min="49" max="49" width="9.33203125" style="10" hidden="1" customWidth="1"/>
    <col min="50" max="52" width="9.33203125" style="10" customWidth="1"/>
    <col min="53" max="16384" width="9.33203125" style="10"/>
  </cols>
  <sheetData>
    <row r="1" spans="2:49" s="3" customFormat="1" ht="26.25" x14ac:dyDescent="0.4">
      <c r="B1" s="1" t="s">
        <v>88</v>
      </c>
      <c r="L1" s="4"/>
      <c r="M1" s="4"/>
      <c r="N1" s="4"/>
      <c r="O1" s="4"/>
      <c r="P1" s="4"/>
      <c r="Q1" s="4"/>
      <c r="R1" s="4"/>
      <c r="S1" s="5"/>
      <c r="Z1" s="4"/>
      <c r="AA1" s="4"/>
      <c r="AB1" s="93"/>
      <c r="AJ1" s="4"/>
      <c r="AK1" s="4"/>
    </row>
    <row r="2" spans="2:49" s="3" customFormat="1" ht="18.75" x14ac:dyDescent="0.3">
      <c r="B2" s="2" t="s">
        <v>78</v>
      </c>
      <c r="L2" s="7" t="s">
        <v>42</v>
      </c>
      <c r="M2" s="4" t="s">
        <v>40</v>
      </c>
      <c r="N2" s="4"/>
      <c r="O2" s="4"/>
      <c r="P2" s="4"/>
      <c r="Q2" s="4"/>
      <c r="R2" s="4"/>
      <c r="S2" s="4"/>
      <c r="V2" s="6" t="s">
        <v>101</v>
      </c>
      <c r="W2" s="6"/>
      <c r="Z2" s="4"/>
      <c r="AA2" s="4"/>
      <c r="AB2" s="93"/>
      <c r="AJ2" s="4"/>
      <c r="AK2" s="4"/>
    </row>
    <row r="3" spans="2:49" s="3" customFormat="1" ht="15.75" customHeight="1" x14ac:dyDescent="0.3">
      <c r="B3" s="8"/>
      <c r="L3" s="7" t="s">
        <v>77</v>
      </c>
      <c r="M3" s="4" t="s">
        <v>77</v>
      </c>
      <c r="N3" s="4"/>
      <c r="O3" s="4"/>
      <c r="P3" s="4"/>
      <c r="Q3" s="4"/>
      <c r="R3" s="4"/>
      <c r="T3" s="6" t="s">
        <v>42</v>
      </c>
      <c r="U3" s="6">
        <f>IF(C15="Gospodinjstvo",0,1)</f>
        <v>1</v>
      </c>
      <c r="V3" s="6">
        <v>1</v>
      </c>
      <c r="W3" s="6"/>
      <c r="Z3" s="4"/>
      <c r="AA3" s="4"/>
      <c r="AB3" s="93"/>
      <c r="AJ3" s="4"/>
      <c r="AK3" s="4"/>
    </row>
    <row r="4" spans="2:49" ht="15.75" customHeight="1" x14ac:dyDescent="0.3">
      <c r="B4" s="51" t="s">
        <v>82</v>
      </c>
      <c r="L4" s="7" t="s">
        <v>45</v>
      </c>
      <c r="M4" s="4" t="s">
        <v>71</v>
      </c>
      <c r="N4" s="4"/>
      <c r="O4" s="4"/>
      <c r="P4" s="4"/>
      <c r="Q4" s="4"/>
      <c r="R4" s="4"/>
      <c r="S4" s="4"/>
      <c r="T4" s="6" t="s">
        <v>77</v>
      </c>
      <c r="U4" s="6">
        <v>1</v>
      </c>
      <c r="V4" s="6">
        <v>0</v>
      </c>
      <c r="W4" s="6"/>
      <c r="X4" s="3"/>
      <c r="Y4" s="3"/>
      <c r="Z4" s="4"/>
      <c r="AA4" s="4"/>
      <c r="AB4" s="93"/>
      <c r="AC4" s="4"/>
      <c r="AD4" s="4"/>
      <c r="AE4" s="4"/>
      <c r="AF4" s="3"/>
      <c r="AG4" s="3"/>
      <c r="AH4" s="3"/>
      <c r="AI4" s="3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2:49" ht="15.75" customHeight="1" x14ac:dyDescent="0.2">
      <c r="B5" s="51" t="s">
        <v>76</v>
      </c>
      <c r="L5" s="7" t="s">
        <v>43</v>
      </c>
      <c r="M5" s="4" t="s">
        <v>67</v>
      </c>
      <c r="N5" s="4"/>
      <c r="O5" s="4"/>
      <c r="P5" s="4"/>
      <c r="Q5" s="4"/>
      <c r="R5" s="4"/>
      <c r="S5" s="4"/>
      <c r="T5" s="6" t="s">
        <v>45</v>
      </c>
      <c r="U5" s="6">
        <v>1</v>
      </c>
      <c r="V5" s="6">
        <v>0</v>
      </c>
      <c r="W5" s="6"/>
      <c r="Z5" s="4"/>
      <c r="AA5" s="4"/>
      <c r="AB5" s="93"/>
      <c r="AC5" s="4"/>
      <c r="AD5" s="4"/>
      <c r="AE5" s="4"/>
      <c r="AJ5" s="4"/>
      <c r="AK5" s="4"/>
    </row>
    <row r="6" spans="2:49" ht="15.75" customHeight="1" x14ac:dyDescent="0.2">
      <c r="B6" s="51" t="s">
        <v>58</v>
      </c>
      <c r="L6" s="7" t="s">
        <v>44</v>
      </c>
      <c r="M6" s="4" t="s">
        <v>68</v>
      </c>
      <c r="N6" s="4"/>
      <c r="O6" s="4"/>
      <c r="P6" s="4"/>
      <c r="Q6" s="4"/>
      <c r="R6" s="4"/>
      <c r="S6" s="4"/>
      <c r="T6" s="6" t="s">
        <v>43</v>
      </c>
      <c r="U6" s="6">
        <v>1</v>
      </c>
      <c r="V6" s="6">
        <v>1</v>
      </c>
      <c r="W6" s="6"/>
      <c r="Z6" s="4"/>
      <c r="AA6" s="4"/>
      <c r="AB6" s="93"/>
      <c r="AC6" s="4"/>
      <c r="AD6" s="4"/>
      <c r="AE6" s="4"/>
      <c r="AJ6" s="4"/>
      <c r="AK6" s="4"/>
    </row>
    <row r="7" spans="2:49" ht="15.75" customHeight="1" x14ac:dyDescent="0.2">
      <c r="B7" s="9"/>
      <c r="L7" s="7" t="s">
        <v>46</v>
      </c>
      <c r="M7" s="4" t="s">
        <v>69</v>
      </c>
      <c r="N7" s="4"/>
      <c r="O7" s="4"/>
      <c r="P7" s="4"/>
      <c r="Q7" s="4"/>
      <c r="R7" s="4"/>
      <c r="S7" s="4"/>
      <c r="T7" s="6" t="s">
        <v>44</v>
      </c>
      <c r="U7" s="6">
        <v>1</v>
      </c>
      <c r="V7" s="6">
        <v>1</v>
      </c>
      <c r="W7" s="6"/>
      <c r="Z7" s="4"/>
      <c r="AA7" s="4"/>
      <c r="AB7" s="93"/>
      <c r="AC7" s="4"/>
      <c r="AD7" s="4"/>
      <c r="AE7" s="4"/>
      <c r="AJ7" s="4"/>
      <c r="AK7" s="4"/>
    </row>
    <row r="8" spans="2:49" ht="15.75" customHeight="1" thickBot="1" x14ac:dyDescent="0.25">
      <c r="B8" s="9"/>
      <c r="L8" s="7" t="s">
        <v>47</v>
      </c>
      <c r="M8" s="4" t="s">
        <v>70</v>
      </c>
      <c r="N8" s="4"/>
      <c r="O8" s="4"/>
      <c r="P8" s="4"/>
      <c r="Q8" s="4"/>
      <c r="R8" s="4">
        <f>IF($C$9="Cerklje",$C$9&amp;" - "&amp;$E$18,$C$9)</f>
        <v>0</v>
      </c>
      <c r="S8" s="97">
        <f>IF($C$9="Cerklje",$C$9&amp;" - "&amp;$E$18&amp;C15,$C$9)</f>
        <v>0</v>
      </c>
      <c r="T8" s="6" t="s">
        <v>46</v>
      </c>
      <c r="U8" s="6">
        <v>1</v>
      </c>
      <c r="V8" s="6">
        <v>1</v>
      </c>
      <c r="W8" s="6"/>
      <c r="Z8" s="4"/>
      <c r="AA8" s="4"/>
      <c r="AB8" s="93"/>
      <c r="AC8" s="4"/>
      <c r="AD8" s="4"/>
      <c r="AE8" s="4"/>
      <c r="AJ8" s="4"/>
      <c r="AK8" s="4"/>
    </row>
    <row r="9" spans="2:49" ht="15.75" customHeight="1" thickBot="1" x14ac:dyDescent="0.25">
      <c r="B9" s="33" t="s">
        <v>72</v>
      </c>
      <c r="C9" s="52"/>
      <c r="L9" s="7"/>
      <c r="M9" s="4"/>
      <c r="N9" s="4"/>
      <c r="O9" s="4"/>
      <c r="P9" s="4"/>
      <c r="Q9" s="4"/>
      <c r="R9" s="4"/>
      <c r="S9" s="4"/>
      <c r="T9" s="6" t="s">
        <v>47</v>
      </c>
      <c r="U9" s="6">
        <v>1</v>
      </c>
      <c r="V9" s="6">
        <v>1</v>
      </c>
      <c r="W9" s="6"/>
      <c r="Z9" s="4"/>
      <c r="AA9" s="4"/>
      <c r="AB9" s="93"/>
      <c r="AC9" s="4"/>
      <c r="AD9" s="4"/>
      <c r="AE9" s="4"/>
      <c r="AJ9" s="4"/>
      <c r="AK9" s="4"/>
    </row>
    <row r="10" spans="2:49" ht="15.75" customHeight="1" thickBot="1" x14ac:dyDescent="0.25">
      <c r="C10" s="12"/>
      <c r="K10" s="47"/>
      <c r="L10" s="4"/>
      <c r="M10" s="4"/>
      <c r="N10" s="4"/>
      <c r="O10" s="4"/>
      <c r="P10" s="4"/>
      <c r="Q10" s="4"/>
      <c r="R10" s="13">
        <f>$C$9</f>
        <v>0</v>
      </c>
      <c r="S10" s="13">
        <f>$C$9</f>
        <v>0</v>
      </c>
      <c r="T10" s="105" t="e">
        <f>VLOOKUP(R10,$T$3:$U$9,2,FALSE)</f>
        <v>#N/A</v>
      </c>
      <c r="V10" s="106">
        <f>IFERROR(VLOOKUP(R10,$T$3:$V$9,3,FALSE),0)</f>
        <v>0</v>
      </c>
      <c r="W10" s="106">
        <f>IFERROR(VLOOKUP(S10,$T$3:$W$9,4,FALSE),0)</f>
        <v>0</v>
      </c>
      <c r="Z10" s="4"/>
      <c r="AA10" s="4"/>
      <c r="AB10" s="93"/>
      <c r="AJ10" s="4"/>
      <c r="AK10" s="4"/>
    </row>
    <row r="11" spans="2:49" ht="15.75" customHeight="1" thickBot="1" x14ac:dyDescent="0.25">
      <c r="B11" s="33" t="s">
        <v>41</v>
      </c>
      <c r="C11" s="56"/>
      <c r="I11" s="11"/>
      <c r="K11" s="47"/>
      <c r="L11" s="11" t="s">
        <v>55</v>
      </c>
      <c r="P11" s="10" t="e">
        <f>IF(T10=1,6,5)</f>
        <v>#N/A</v>
      </c>
      <c r="S11" s="107" t="str">
        <f>R10&amp;"-sub"</f>
        <v>0-sub</v>
      </c>
      <c r="AA11" s="10" t="s">
        <v>12</v>
      </c>
      <c r="AK11" s="10" t="s">
        <v>32</v>
      </c>
      <c r="AT11" s="10" t="s">
        <v>11</v>
      </c>
    </row>
    <row r="12" spans="2:49" ht="15.75" customHeight="1" thickBot="1" x14ac:dyDescent="0.25">
      <c r="C12" s="12"/>
      <c r="L12" s="14" t="s">
        <v>2</v>
      </c>
      <c r="M12" s="15" t="s">
        <v>56</v>
      </c>
      <c r="N12" s="15" t="s">
        <v>33</v>
      </c>
      <c r="O12" s="15" t="s">
        <v>29</v>
      </c>
      <c r="P12" s="13" t="s">
        <v>90</v>
      </c>
      <c r="Q12" s="101" t="s">
        <v>89</v>
      </c>
      <c r="R12" s="13" t="s">
        <v>12</v>
      </c>
      <c r="S12" s="107" t="s">
        <v>93</v>
      </c>
      <c r="T12" s="13" t="s">
        <v>32</v>
      </c>
      <c r="U12" s="107" t="s">
        <v>92</v>
      </c>
      <c r="V12" s="13" t="s">
        <v>96</v>
      </c>
      <c r="W12" s="13" t="s">
        <v>73</v>
      </c>
      <c r="Y12" s="4">
        <v>1</v>
      </c>
      <c r="Z12" s="14" t="s">
        <v>2</v>
      </c>
      <c r="AA12" s="13" t="s">
        <v>42</v>
      </c>
      <c r="AB12" s="13" t="s">
        <v>45</v>
      </c>
      <c r="AC12" s="13" t="s">
        <v>106</v>
      </c>
      <c r="AD12" s="13" t="s">
        <v>43</v>
      </c>
      <c r="AE12" s="13" t="s">
        <v>44</v>
      </c>
      <c r="AF12" s="13" t="s">
        <v>46</v>
      </c>
      <c r="AG12" s="13" t="s">
        <v>91</v>
      </c>
      <c r="AH12" s="13" t="s">
        <v>47</v>
      </c>
      <c r="AI12" s="13" t="s">
        <v>94</v>
      </c>
      <c r="AK12" s="13" t="s">
        <v>42</v>
      </c>
      <c r="AL12" s="13" t="s">
        <v>45</v>
      </c>
      <c r="AM12" s="13" t="s">
        <v>43</v>
      </c>
      <c r="AN12" s="13" t="s">
        <v>44</v>
      </c>
      <c r="AO12" s="13" t="s">
        <v>46</v>
      </c>
      <c r="AP12" s="13" t="s">
        <v>91</v>
      </c>
      <c r="AQ12" s="13" t="s">
        <v>47</v>
      </c>
      <c r="AR12" s="13" t="s">
        <v>94</v>
      </c>
      <c r="AT12" s="13" t="s">
        <v>106</v>
      </c>
      <c r="AU12" s="13" t="s">
        <v>45</v>
      </c>
      <c r="AV12" s="13" t="s">
        <v>95</v>
      </c>
    </row>
    <row r="13" spans="2:49" ht="15.75" customHeight="1" thickBot="1" x14ac:dyDescent="0.25">
      <c r="B13" s="33" t="s">
        <v>2</v>
      </c>
      <c r="C13" s="52"/>
      <c r="E13" s="54" t="s">
        <v>57</v>
      </c>
      <c r="F13" s="54">
        <f>IF(C13="",0,VLOOKUP($C$13,$L$13:$O$28,3,FALSE)&amp;" "&amp;"mm")</f>
        <v>0</v>
      </c>
      <c r="H13" s="54"/>
      <c r="L13" s="16" t="s">
        <v>3</v>
      </c>
      <c r="M13" s="17">
        <v>1</v>
      </c>
      <c r="N13" s="18">
        <v>13</v>
      </c>
      <c r="O13" s="19">
        <v>13</v>
      </c>
      <c r="P13" s="17"/>
      <c r="Q13" s="102"/>
      <c r="R13" s="17">
        <f t="shared" ref="R13:R28" si="0">IFERROR(HLOOKUP($R$10,$AA$12:$AI$28,Y13,FALSE),0)</f>
        <v>0</v>
      </c>
      <c r="S13" s="108">
        <f t="shared" ref="S13:S28" si="1">IFERROR(HLOOKUP($S$11,$AA$12:$AI$28,Y13,FALSE),0)</f>
        <v>0</v>
      </c>
      <c r="T13" s="20">
        <f t="shared" ref="T13:T28" si="2">IFERROR(HLOOKUP($S$10,$AK$12:$AR$28,Y13,FALSE),0)</f>
        <v>0</v>
      </c>
      <c r="U13" s="108">
        <f t="shared" ref="U13:U28" si="3">IFERROR(HLOOKUP($S$11,$AK$12:$AR$28,Y13,FALSE),0)</f>
        <v>0</v>
      </c>
      <c r="V13" s="17">
        <f>IFERROR(HLOOKUP($S$11,$AT$12:$AW$28,Y13,FALSE),0)</f>
        <v>0</v>
      </c>
      <c r="W13" s="21"/>
      <c r="Y13" s="4">
        <v>2</v>
      </c>
      <c r="Z13" s="16" t="s">
        <v>3</v>
      </c>
      <c r="AA13" s="17"/>
      <c r="AB13" s="17"/>
      <c r="AC13" s="17"/>
      <c r="AD13" s="17"/>
      <c r="AE13" s="17"/>
      <c r="AF13" s="17"/>
      <c r="AG13" s="17"/>
      <c r="AH13" s="17"/>
      <c r="AI13" s="17"/>
      <c r="AK13" s="17"/>
      <c r="AL13" s="17"/>
      <c r="AM13" s="17"/>
      <c r="AN13" s="17"/>
      <c r="AO13" s="17"/>
      <c r="AP13" s="17"/>
      <c r="AQ13" s="17"/>
      <c r="AR13" s="17"/>
      <c r="AT13" s="17"/>
      <c r="AU13" s="17"/>
      <c r="AV13" s="17"/>
    </row>
    <row r="14" spans="2:49" ht="15.75" customHeight="1" thickBot="1" x14ac:dyDescent="0.25">
      <c r="E14" s="33"/>
      <c r="F14" s="33"/>
      <c r="K14" s="47"/>
      <c r="L14" s="22" t="s">
        <v>48</v>
      </c>
      <c r="M14" s="20">
        <v>1</v>
      </c>
      <c r="N14" s="23">
        <v>15</v>
      </c>
      <c r="O14" s="24">
        <v>15</v>
      </c>
      <c r="P14" s="25">
        <v>7.08</v>
      </c>
      <c r="Q14" s="103">
        <v>7.08</v>
      </c>
      <c r="R14" s="20">
        <v>4.79</v>
      </c>
      <c r="S14" s="108">
        <f t="shared" si="1"/>
        <v>0</v>
      </c>
      <c r="T14" s="20">
        <f t="shared" si="2"/>
        <v>0</v>
      </c>
      <c r="U14" s="108">
        <f t="shared" si="3"/>
        <v>0</v>
      </c>
      <c r="V14" s="20">
        <f t="shared" ref="V14:V28" si="4">IFERROR(HLOOKUP($S$11,$AT$12:$AW$28,Y14,FALSE),0)</f>
        <v>0</v>
      </c>
      <c r="W14" s="20">
        <v>4.2</v>
      </c>
      <c r="Y14" s="4">
        <v>3</v>
      </c>
      <c r="Z14" s="22" t="s">
        <v>48</v>
      </c>
      <c r="AA14" s="20">
        <v>5</v>
      </c>
      <c r="AB14" s="20">
        <v>9.17</v>
      </c>
      <c r="AC14" s="95"/>
      <c r="AD14" s="20">
        <v>8.5</v>
      </c>
      <c r="AE14" s="20">
        <v>11</v>
      </c>
      <c r="AF14" s="20">
        <v>13.49</v>
      </c>
      <c r="AG14" s="108">
        <v>0</v>
      </c>
      <c r="AH14" s="20">
        <v>8.6300000000000008</v>
      </c>
      <c r="AI14" s="108">
        <f>List178[[#This Row],[Jezersko]]*0.6</f>
        <v>5.1779999999999999</v>
      </c>
      <c r="AK14" s="20">
        <v>3.89</v>
      </c>
      <c r="AL14" s="26">
        <v>2.5585</v>
      </c>
      <c r="AM14" s="20">
        <v>3.89</v>
      </c>
      <c r="AN14" s="20">
        <v>3.89</v>
      </c>
      <c r="AO14" s="20">
        <v>3.89</v>
      </c>
      <c r="AP14" s="108">
        <v>0</v>
      </c>
      <c r="AQ14" s="20">
        <v>3.89</v>
      </c>
      <c r="AR14" s="108">
        <v>0</v>
      </c>
      <c r="AT14" s="20">
        <v>0</v>
      </c>
      <c r="AU14" s="26"/>
      <c r="AV14" s="20">
        <v>0</v>
      </c>
    </row>
    <row r="15" spans="2:49" ht="15.75" customHeight="1" thickBot="1" x14ac:dyDescent="0.25">
      <c r="B15" s="33" t="s">
        <v>59</v>
      </c>
      <c r="C15" s="55"/>
      <c r="K15" s="47"/>
      <c r="L15" s="22" t="s">
        <v>4</v>
      </c>
      <c r="M15" s="20">
        <v>1.67</v>
      </c>
      <c r="N15" s="23">
        <v>20</v>
      </c>
      <c r="O15" s="24">
        <v>20</v>
      </c>
      <c r="P15" s="25">
        <v>7.08</v>
      </c>
      <c r="Q15" s="103">
        <v>7.08</v>
      </c>
      <c r="R15" s="20">
        <f t="shared" si="0"/>
        <v>0</v>
      </c>
      <c r="S15" s="108">
        <f t="shared" si="1"/>
        <v>0</v>
      </c>
      <c r="T15" s="20">
        <f t="shared" si="2"/>
        <v>0</v>
      </c>
      <c r="U15" s="108">
        <f t="shared" si="3"/>
        <v>0</v>
      </c>
      <c r="V15" s="20">
        <f t="shared" si="4"/>
        <v>0</v>
      </c>
      <c r="W15" s="20">
        <v>4.2</v>
      </c>
      <c r="Y15" s="4">
        <v>4</v>
      </c>
      <c r="Z15" s="22" t="s">
        <v>4</v>
      </c>
      <c r="AA15" s="27">
        <v>5</v>
      </c>
      <c r="AB15" s="20">
        <v>9.17</v>
      </c>
      <c r="AC15" s="95"/>
      <c r="AD15" s="27">
        <v>8.5</v>
      </c>
      <c r="AE15" s="27">
        <v>11</v>
      </c>
      <c r="AF15" s="20">
        <v>13.49</v>
      </c>
      <c r="AG15" s="108">
        <v>0</v>
      </c>
      <c r="AH15" s="20">
        <v>8.6300000000000008</v>
      </c>
      <c r="AI15" s="108">
        <f>List178[[#This Row],[Jezersko]]*0.6</f>
        <v>5.1779999999999999</v>
      </c>
      <c r="AK15" s="27">
        <v>3.89</v>
      </c>
      <c r="AL15" s="26">
        <v>2.5585</v>
      </c>
      <c r="AM15" s="27">
        <v>3.89</v>
      </c>
      <c r="AN15" s="27">
        <v>3.89</v>
      </c>
      <c r="AO15" s="20">
        <v>3.89</v>
      </c>
      <c r="AP15" s="108">
        <v>0</v>
      </c>
      <c r="AQ15" s="20">
        <v>3.89</v>
      </c>
      <c r="AR15" s="108">
        <v>0</v>
      </c>
      <c r="AT15" s="27">
        <v>0</v>
      </c>
      <c r="AU15" s="26"/>
      <c r="AV15" s="27">
        <v>0</v>
      </c>
    </row>
    <row r="16" spans="2:49" ht="15.75" customHeight="1" x14ac:dyDescent="0.2">
      <c r="C16" s="12"/>
      <c r="K16" s="47"/>
      <c r="L16" s="22" t="s">
        <v>5</v>
      </c>
      <c r="M16" s="20">
        <v>2.5</v>
      </c>
      <c r="N16" s="23">
        <v>25</v>
      </c>
      <c r="O16" s="24">
        <v>25</v>
      </c>
      <c r="P16" s="25">
        <v>21.23</v>
      </c>
      <c r="Q16" s="103">
        <v>21.24</v>
      </c>
      <c r="R16" s="20">
        <f t="shared" si="0"/>
        <v>0</v>
      </c>
      <c r="S16" s="108">
        <f t="shared" si="1"/>
        <v>0</v>
      </c>
      <c r="T16" s="20">
        <f t="shared" si="2"/>
        <v>0</v>
      </c>
      <c r="U16" s="108">
        <f t="shared" si="3"/>
        <v>0</v>
      </c>
      <c r="V16" s="20">
        <f t="shared" si="4"/>
        <v>0</v>
      </c>
      <c r="W16" s="20">
        <v>12.59</v>
      </c>
      <c r="Y16" s="4">
        <v>5</v>
      </c>
      <c r="Z16" s="22" t="s">
        <v>5</v>
      </c>
      <c r="AA16" s="27">
        <v>15</v>
      </c>
      <c r="AB16" s="20">
        <v>27.5</v>
      </c>
      <c r="AC16" s="95"/>
      <c r="AD16" s="27">
        <v>25.51</v>
      </c>
      <c r="AE16" s="27">
        <v>33.01</v>
      </c>
      <c r="AF16" s="20">
        <v>40.47</v>
      </c>
      <c r="AG16" s="108">
        <v>0</v>
      </c>
      <c r="AH16" s="20">
        <v>25.9</v>
      </c>
      <c r="AI16" s="108">
        <f>List178[[#This Row],[Jezersko]]*0.6</f>
        <v>15.54</v>
      </c>
      <c r="AK16" s="27">
        <v>11.67</v>
      </c>
      <c r="AL16" s="26">
        <v>7.6755000000000004</v>
      </c>
      <c r="AM16" s="27">
        <v>11.67</v>
      </c>
      <c r="AN16" s="27">
        <v>11.67</v>
      </c>
      <c r="AO16" s="20">
        <v>11.67</v>
      </c>
      <c r="AP16" s="108">
        <v>0</v>
      </c>
      <c r="AQ16" s="20">
        <v>11.67</v>
      </c>
      <c r="AR16" s="108">
        <v>0</v>
      </c>
      <c r="AT16" s="27">
        <v>0</v>
      </c>
      <c r="AU16" s="26"/>
      <c r="AV16" s="27">
        <v>0</v>
      </c>
    </row>
    <row r="17" spans="2:49" ht="15.75" customHeight="1" thickBot="1" x14ac:dyDescent="0.25">
      <c r="B17" s="33" t="s">
        <v>0</v>
      </c>
      <c r="C17" s="12"/>
      <c r="K17" s="47"/>
      <c r="L17" s="22" t="s">
        <v>49</v>
      </c>
      <c r="M17" s="20">
        <v>4</v>
      </c>
      <c r="N17" s="23">
        <v>30</v>
      </c>
      <c r="O17" s="24">
        <v>30</v>
      </c>
      <c r="P17" s="25">
        <v>21.23</v>
      </c>
      <c r="Q17" s="103">
        <v>21.24</v>
      </c>
      <c r="R17" s="20">
        <f t="shared" si="0"/>
        <v>0</v>
      </c>
      <c r="S17" s="108">
        <f t="shared" si="1"/>
        <v>0</v>
      </c>
      <c r="T17" s="20">
        <f t="shared" si="2"/>
        <v>0</v>
      </c>
      <c r="U17" s="108">
        <f t="shared" si="3"/>
        <v>0</v>
      </c>
      <c r="V17" s="20">
        <f t="shared" si="4"/>
        <v>0</v>
      </c>
      <c r="W17" s="20">
        <v>12.59</v>
      </c>
      <c r="Y17" s="4">
        <v>6</v>
      </c>
      <c r="Z17" s="22" t="s">
        <v>49</v>
      </c>
      <c r="AA17" s="27">
        <v>15</v>
      </c>
      <c r="AB17" s="20">
        <v>27.5</v>
      </c>
      <c r="AC17" s="95"/>
      <c r="AD17" s="27">
        <v>25.51</v>
      </c>
      <c r="AE17" s="27">
        <v>33.01</v>
      </c>
      <c r="AF17" s="20">
        <v>40.47</v>
      </c>
      <c r="AG17" s="108">
        <v>0</v>
      </c>
      <c r="AH17" s="20">
        <v>25.9</v>
      </c>
      <c r="AI17" s="108">
        <f>List178[[#This Row],[Jezersko]]*0.6</f>
        <v>15.54</v>
      </c>
      <c r="AK17" s="27">
        <v>11.67</v>
      </c>
      <c r="AL17" s="26">
        <v>7.6755000000000004</v>
      </c>
      <c r="AM17" s="27">
        <v>11.67</v>
      </c>
      <c r="AN17" s="27">
        <v>11.67</v>
      </c>
      <c r="AO17" s="20">
        <v>11.67</v>
      </c>
      <c r="AP17" s="108">
        <v>0</v>
      </c>
      <c r="AQ17" s="20">
        <v>11.67</v>
      </c>
      <c r="AR17" s="108">
        <v>0</v>
      </c>
      <c r="AT17" s="27">
        <v>0</v>
      </c>
      <c r="AU17" s="26"/>
      <c r="AV17" s="27">
        <v>0</v>
      </c>
    </row>
    <row r="18" spans="2:49" ht="15.75" customHeight="1" thickBot="1" x14ac:dyDescent="0.25">
      <c r="B18" s="33" t="s">
        <v>64</v>
      </c>
      <c r="C18" s="52"/>
      <c r="K18" s="47"/>
      <c r="L18" s="22" t="s">
        <v>6</v>
      </c>
      <c r="M18" s="20">
        <v>6.666666666666667</v>
      </c>
      <c r="N18" s="23">
        <v>40</v>
      </c>
      <c r="O18" s="24">
        <v>40</v>
      </c>
      <c r="P18" s="25">
        <v>70.77</v>
      </c>
      <c r="Q18" s="103">
        <v>70.8</v>
      </c>
      <c r="R18" s="20">
        <f t="shared" si="0"/>
        <v>0</v>
      </c>
      <c r="S18" s="108">
        <f t="shared" si="1"/>
        <v>0</v>
      </c>
      <c r="T18" s="20">
        <f t="shared" si="2"/>
        <v>0</v>
      </c>
      <c r="U18" s="108">
        <f t="shared" si="3"/>
        <v>0</v>
      </c>
      <c r="V18" s="20">
        <f t="shared" si="4"/>
        <v>0</v>
      </c>
      <c r="W18" s="20">
        <v>41.98</v>
      </c>
      <c r="Y18" s="4">
        <v>7</v>
      </c>
      <c r="Z18" s="22" t="s">
        <v>6</v>
      </c>
      <c r="AA18" s="27">
        <v>49.99</v>
      </c>
      <c r="AB18" s="20">
        <v>91.68</v>
      </c>
      <c r="AC18" s="95"/>
      <c r="AD18" s="27">
        <v>85.03</v>
      </c>
      <c r="AE18" s="27">
        <v>110.02</v>
      </c>
      <c r="AF18" s="20">
        <v>134.88999999999999</v>
      </c>
      <c r="AG18" s="108">
        <v>0</v>
      </c>
      <c r="AH18" s="20">
        <v>86.34</v>
      </c>
      <c r="AI18" s="108">
        <f>List178[[#This Row],[Jezersko]]*0.6</f>
        <v>51.804000000000002</v>
      </c>
      <c r="AK18" s="27">
        <v>38.9</v>
      </c>
      <c r="AL18" s="26">
        <v>25.585000000000001</v>
      </c>
      <c r="AM18" s="27">
        <v>38.9</v>
      </c>
      <c r="AN18" s="27">
        <v>38.9</v>
      </c>
      <c r="AO18" s="20">
        <v>38.9</v>
      </c>
      <c r="AP18" s="108">
        <v>0</v>
      </c>
      <c r="AQ18" s="20">
        <v>38.9</v>
      </c>
      <c r="AR18" s="108">
        <v>0</v>
      </c>
      <c r="AT18" s="27">
        <v>0</v>
      </c>
      <c r="AU18" s="26"/>
      <c r="AV18" s="27">
        <v>0</v>
      </c>
    </row>
    <row r="19" spans="2:49" ht="15.75" customHeight="1" thickBot="1" x14ac:dyDescent="0.25">
      <c r="K19" s="47"/>
      <c r="L19" s="22" t="s">
        <v>7</v>
      </c>
      <c r="M19" s="20">
        <v>10</v>
      </c>
      <c r="N19" s="23">
        <v>50</v>
      </c>
      <c r="O19" s="24">
        <v>50</v>
      </c>
      <c r="P19" s="25">
        <v>106.15</v>
      </c>
      <c r="Q19" s="103">
        <v>106.2</v>
      </c>
      <c r="R19" s="20">
        <f t="shared" si="0"/>
        <v>0</v>
      </c>
      <c r="S19" s="108">
        <f t="shared" si="1"/>
        <v>0</v>
      </c>
      <c r="T19" s="20">
        <f t="shared" si="2"/>
        <v>0</v>
      </c>
      <c r="U19" s="108">
        <f t="shared" si="3"/>
        <v>0</v>
      </c>
      <c r="V19" s="20">
        <f t="shared" si="4"/>
        <v>0</v>
      </c>
      <c r="W19" s="20">
        <v>62.97</v>
      </c>
      <c r="Y19" s="4">
        <v>8</v>
      </c>
      <c r="Z19" s="22" t="s">
        <v>7</v>
      </c>
      <c r="AA19" s="27">
        <v>74.989999999999995</v>
      </c>
      <c r="AB19" s="20">
        <v>137.52000000000001</v>
      </c>
      <c r="AC19" s="95"/>
      <c r="AD19" s="27">
        <v>127.55</v>
      </c>
      <c r="AE19" s="27">
        <v>165.03</v>
      </c>
      <c r="AF19" s="20">
        <v>202.34</v>
      </c>
      <c r="AG19" s="108">
        <v>0</v>
      </c>
      <c r="AH19" s="20">
        <v>129.52000000000001</v>
      </c>
      <c r="AI19" s="108">
        <f>List178[[#This Row],[Jezersko]]*0.6</f>
        <v>77.712000000000003</v>
      </c>
      <c r="AK19" s="27">
        <v>58.35</v>
      </c>
      <c r="AL19" s="26">
        <v>38.377499999999998</v>
      </c>
      <c r="AM19" s="27">
        <v>58.35</v>
      </c>
      <c r="AN19" s="27">
        <v>58.35</v>
      </c>
      <c r="AO19" s="20">
        <v>58.35</v>
      </c>
      <c r="AP19" s="108">
        <v>0</v>
      </c>
      <c r="AQ19" s="20">
        <v>58.35</v>
      </c>
      <c r="AR19" s="108">
        <v>0</v>
      </c>
      <c r="AT19" s="27">
        <v>0</v>
      </c>
      <c r="AU19" s="26"/>
      <c r="AV19" s="27">
        <v>0</v>
      </c>
    </row>
    <row r="20" spans="2:49" ht="27" customHeight="1" thickBot="1" x14ac:dyDescent="0.25">
      <c r="B20" s="52" t="str">
        <f>IF($C$9="","Občina",VLOOKUP($C$9,$L$2:$M$8,2,FALSE))</f>
        <v>Občina</v>
      </c>
      <c r="K20" s="47"/>
      <c r="L20" s="22" t="s">
        <v>50</v>
      </c>
      <c r="M20" s="20">
        <v>16.666666666666668</v>
      </c>
      <c r="N20" s="23">
        <v>65</v>
      </c>
      <c r="O20" s="24">
        <v>65</v>
      </c>
      <c r="P20" s="25">
        <v>212.31</v>
      </c>
      <c r="Q20" s="103">
        <v>212.39</v>
      </c>
      <c r="R20" s="20">
        <f t="shared" si="0"/>
        <v>0</v>
      </c>
      <c r="S20" s="108">
        <f t="shared" si="1"/>
        <v>0</v>
      </c>
      <c r="T20" s="20">
        <f t="shared" si="2"/>
        <v>0</v>
      </c>
      <c r="U20" s="108">
        <f t="shared" si="3"/>
        <v>0</v>
      </c>
      <c r="V20" s="20">
        <f t="shared" si="4"/>
        <v>0</v>
      </c>
      <c r="W20" s="20">
        <v>125.94</v>
      </c>
      <c r="Y20" s="4">
        <v>9</v>
      </c>
      <c r="Z20" s="22" t="s">
        <v>50</v>
      </c>
      <c r="AA20" s="20">
        <v>74.989999999999995</v>
      </c>
      <c r="AB20" s="20">
        <v>275.04000000000002</v>
      </c>
      <c r="AC20" s="95"/>
      <c r="AD20" s="20">
        <v>127.55</v>
      </c>
      <c r="AE20" s="20">
        <v>165.03</v>
      </c>
      <c r="AF20" s="20"/>
      <c r="AG20" s="20"/>
      <c r="AH20" s="20">
        <v>258.89999999999998</v>
      </c>
      <c r="AI20" s="108">
        <f>List178[[#This Row],[Jezersko]]*0.6</f>
        <v>155.33999999999997</v>
      </c>
      <c r="AK20" s="20">
        <v>58.35</v>
      </c>
      <c r="AL20" s="26">
        <v>76.754999999999995</v>
      </c>
      <c r="AM20" s="20">
        <v>58.35</v>
      </c>
      <c r="AN20" s="20">
        <v>58.35</v>
      </c>
      <c r="AO20" s="20"/>
      <c r="AP20" s="20"/>
      <c r="AQ20" s="20">
        <v>58.35</v>
      </c>
      <c r="AR20" s="108">
        <v>0</v>
      </c>
      <c r="AT20" s="20">
        <v>0</v>
      </c>
      <c r="AU20" s="26"/>
      <c r="AV20" s="20">
        <v>0</v>
      </c>
    </row>
    <row r="21" spans="2:49" ht="27" customHeight="1" thickBot="1" x14ac:dyDescent="0.25">
      <c r="C21" s="53" t="s">
        <v>85</v>
      </c>
      <c r="D21" s="53" t="s">
        <v>84</v>
      </c>
      <c r="E21" s="109" t="s">
        <v>97</v>
      </c>
      <c r="F21" s="109" t="s">
        <v>100</v>
      </c>
      <c r="G21" s="109" t="s">
        <v>86</v>
      </c>
      <c r="H21" s="109" t="s">
        <v>98</v>
      </c>
      <c r="I21" s="110" t="s">
        <v>99</v>
      </c>
      <c r="K21" s="47"/>
      <c r="L21" s="22" t="s">
        <v>8</v>
      </c>
      <c r="M21" s="20">
        <v>33.33</v>
      </c>
      <c r="N21" s="23">
        <v>80</v>
      </c>
      <c r="O21" s="24">
        <v>80</v>
      </c>
      <c r="P21" s="25">
        <v>353.85</v>
      </c>
      <c r="Q21" s="103">
        <v>353.98</v>
      </c>
      <c r="R21" s="20">
        <f t="shared" si="0"/>
        <v>0</v>
      </c>
      <c r="S21" s="108">
        <f t="shared" si="1"/>
        <v>0</v>
      </c>
      <c r="T21" s="20">
        <f t="shared" si="2"/>
        <v>0</v>
      </c>
      <c r="U21" s="108">
        <f t="shared" si="3"/>
        <v>0</v>
      </c>
      <c r="V21" s="20">
        <f t="shared" si="4"/>
        <v>0</v>
      </c>
      <c r="W21" s="20">
        <v>209.9</v>
      </c>
      <c r="Y21" s="4">
        <v>10</v>
      </c>
      <c r="Z21" s="22" t="s">
        <v>8</v>
      </c>
      <c r="AA21" s="20">
        <v>74.989999999999995</v>
      </c>
      <c r="AB21" s="20">
        <v>458.4</v>
      </c>
      <c r="AC21" s="95"/>
      <c r="AD21" s="20">
        <v>127.55</v>
      </c>
      <c r="AE21" s="20">
        <v>165.03</v>
      </c>
      <c r="AF21" s="20"/>
      <c r="AG21" s="20"/>
      <c r="AH21" s="20">
        <v>431.5</v>
      </c>
      <c r="AI21" s="108">
        <f>List178[[#This Row],[Jezersko]]*0.6</f>
        <v>258.89999999999998</v>
      </c>
      <c r="AK21" s="20">
        <v>58.35</v>
      </c>
      <c r="AL21" s="26">
        <v>127.925</v>
      </c>
      <c r="AM21" s="20">
        <v>58.35</v>
      </c>
      <c r="AN21" s="20">
        <v>58.35</v>
      </c>
      <c r="AO21" s="20"/>
      <c r="AP21" s="20"/>
      <c r="AQ21" s="20">
        <v>58.35</v>
      </c>
      <c r="AR21" s="108">
        <v>0</v>
      </c>
      <c r="AT21" s="20">
        <v>0</v>
      </c>
      <c r="AU21" s="26"/>
      <c r="AV21" s="20">
        <v>0</v>
      </c>
    </row>
    <row r="22" spans="2:49" ht="15.75" customHeight="1" x14ac:dyDescent="0.2">
      <c r="B22" s="57" t="s">
        <v>108</v>
      </c>
      <c r="C22" s="58" t="s">
        <v>83</v>
      </c>
      <c r="D22" s="80">
        <f>IF($C$11&lt;&gt;"",$C$11,0)</f>
        <v>0</v>
      </c>
      <c r="E22" s="98">
        <f>IF($D$22=0,0,IF($C$15="",0,IF($C$15="gospodinjstvo",VLOOKUP($C$9,$L$40:$Q$49,2,FALSE),VLOOKUP($C$9,$L$51:$Q$60,2,FALSE))))</f>
        <v>0</v>
      </c>
      <c r="F22" s="92">
        <f>-IF(D22=0,0,IF($C$15="gospodinjstvo",VLOOKUP($C$9,$L$40:$R$49,5,FALSE),0))</f>
        <v>0</v>
      </c>
      <c r="G22" s="64">
        <f t="shared" ref="G22:G27" si="5">(D22*E22)+(D22*F22)</f>
        <v>0</v>
      </c>
      <c r="H22" s="65">
        <f>IF(G22&lt;&gt;0,0.095,0)</f>
        <v>0</v>
      </c>
      <c r="I22" s="66">
        <f>(G22*1.095)</f>
        <v>0</v>
      </c>
      <c r="K22" s="47"/>
      <c r="L22" s="22" t="s">
        <v>9</v>
      </c>
      <c r="M22" s="20">
        <v>50</v>
      </c>
      <c r="N22" s="23">
        <v>100</v>
      </c>
      <c r="O22" s="24">
        <v>100</v>
      </c>
      <c r="P22" s="25">
        <v>707.69</v>
      </c>
      <c r="Q22" s="103">
        <v>707.97</v>
      </c>
      <c r="R22" s="20">
        <f t="shared" si="0"/>
        <v>0</v>
      </c>
      <c r="S22" s="108">
        <f t="shared" si="1"/>
        <v>0</v>
      </c>
      <c r="T22" s="20">
        <f t="shared" si="2"/>
        <v>0</v>
      </c>
      <c r="U22" s="108">
        <f t="shared" si="3"/>
        <v>0</v>
      </c>
      <c r="V22" s="20">
        <f t="shared" si="4"/>
        <v>0</v>
      </c>
      <c r="W22" s="20">
        <v>419.81</v>
      </c>
      <c r="Y22" s="4">
        <v>11</v>
      </c>
      <c r="Z22" s="22" t="s">
        <v>9</v>
      </c>
      <c r="AA22" s="20">
        <v>74.989999999999995</v>
      </c>
      <c r="AB22" s="20">
        <v>916.8</v>
      </c>
      <c r="AC22" s="95"/>
      <c r="AD22" s="20">
        <v>127.55</v>
      </c>
      <c r="AE22" s="20">
        <v>165.03</v>
      </c>
      <c r="AF22" s="20"/>
      <c r="AG22" s="20"/>
      <c r="AH22" s="20">
        <v>863</v>
      </c>
      <c r="AI22" s="108">
        <f>List178[[#This Row],[Jezersko]]*0.6</f>
        <v>517.79999999999995</v>
      </c>
      <c r="AK22" s="20">
        <v>58.35</v>
      </c>
      <c r="AL22" s="26">
        <v>255.85</v>
      </c>
      <c r="AM22" s="20">
        <v>58.35</v>
      </c>
      <c r="AN22" s="20">
        <v>58.35</v>
      </c>
      <c r="AO22" s="20"/>
      <c r="AP22" s="20"/>
      <c r="AQ22" s="20">
        <v>58.35</v>
      </c>
      <c r="AR22" s="108">
        <v>0</v>
      </c>
      <c r="AT22" s="20">
        <v>0</v>
      </c>
      <c r="AU22" s="26"/>
      <c r="AV22" s="20">
        <v>0</v>
      </c>
    </row>
    <row r="23" spans="2:49" ht="15.75" customHeight="1" thickBot="1" x14ac:dyDescent="0.25">
      <c r="B23" s="70" t="s">
        <v>109</v>
      </c>
      <c r="C23" s="71" t="s">
        <v>31</v>
      </c>
      <c r="D23" s="72">
        <f>IF($C$13&lt;&gt;"",1,0)</f>
        <v>0</v>
      </c>
      <c r="E23" s="75">
        <f>IF(D23=0,0,IF($C$9&lt;&gt;"",VLOOKUP($C$13,$L$13:$W$28,6,FALSE),0))</f>
        <v>0</v>
      </c>
      <c r="F23" s="82">
        <f>-IF(D23=0,0,IF($C$15="gospodinjstvo",VLOOKUP($C$13,$L$13:$W$28,11,FALSE),0))</f>
        <v>0</v>
      </c>
      <c r="G23" s="75">
        <f t="shared" si="5"/>
        <v>0</v>
      </c>
      <c r="H23" s="76">
        <f>IF(G23&lt;&gt;0,0.095,0)</f>
        <v>0</v>
      </c>
      <c r="I23" s="77">
        <f>(G23*1.095)</f>
        <v>0</v>
      </c>
      <c r="K23" s="47"/>
      <c r="L23" s="22" t="s">
        <v>10</v>
      </c>
      <c r="M23" s="20">
        <v>100</v>
      </c>
      <c r="N23" s="23">
        <v>150</v>
      </c>
      <c r="O23" s="24">
        <v>150</v>
      </c>
      <c r="P23" s="25">
        <v>1415.38</v>
      </c>
      <c r="Q23" s="103">
        <v>1415.93</v>
      </c>
      <c r="R23" s="20">
        <f t="shared" si="0"/>
        <v>0</v>
      </c>
      <c r="S23" s="108">
        <f t="shared" si="1"/>
        <v>0</v>
      </c>
      <c r="T23" s="20">
        <f t="shared" si="2"/>
        <v>0</v>
      </c>
      <c r="U23" s="108">
        <f t="shared" si="3"/>
        <v>0</v>
      </c>
      <c r="V23" s="20">
        <f t="shared" si="4"/>
        <v>0</v>
      </c>
      <c r="W23" s="20">
        <v>839.61</v>
      </c>
      <c r="Y23" s="4">
        <v>12</v>
      </c>
      <c r="Z23" s="22" t="s">
        <v>10</v>
      </c>
      <c r="AA23" s="20">
        <v>74.989999999999995</v>
      </c>
      <c r="AB23" s="20">
        <v>1833.61</v>
      </c>
      <c r="AC23" s="95"/>
      <c r="AD23" s="20">
        <v>127.55</v>
      </c>
      <c r="AE23" s="20">
        <v>165.03</v>
      </c>
      <c r="AF23" s="20"/>
      <c r="AG23" s="20"/>
      <c r="AH23" s="20">
        <v>1726</v>
      </c>
      <c r="AI23" s="108">
        <f>List178[[#This Row],[Jezersko]]*0.6</f>
        <v>1035.5999999999999</v>
      </c>
      <c r="AK23" s="20">
        <v>58.35</v>
      </c>
      <c r="AL23" s="26">
        <v>511.7</v>
      </c>
      <c r="AM23" s="20">
        <v>58.35</v>
      </c>
      <c r="AN23" s="20">
        <v>58.35</v>
      </c>
      <c r="AO23" s="20"/>
      <c r="AP23" s="20"/>
      <c r="AQ23" s="20">
        <v>58.35</v>
      </c>
      <c r="AR23" s="108">
        <v>0</v>
      </c>
      <c r="AT23" s="20">
        <v>0</v>
      </c>
      <c r="AU23" s="26"/>
      <c r="AV23" s="20">
        <v>0</v>
      </c>
    </row>
    <row r="24" spans="2:49" ht="15.75" customHeight="1" x14ac:dyDescent="0.2">
      <c r="B24" s="57" t="s">
        <v>110</v>
      </c>
      <c r="C24" s="58" t="s">
        <v>83</v>
      </c>
      <c r="D24" s="83">
        <f>IF($C$9="Medvode",0,IF($C$18="da",IF($C$11&lt;&gt;"",$C$11,0),0))</f>
        <v>0</v>
      </c>
      <c r="E24" s="59">
        <f>IF($D$24=0,0,IF($C$15="",0,IF($C$15="gospodinjstvo",VLOOKUP($C$9,$L$40:$Q$49,3,FALSE),VLOOKUP($C$9,$L$51:$Q$60,3,FALSE))))</f>
        <v>0</v>
      </c>
      <c r="F24" s="92"/>
      <c r="G24" s="64">
        <f t="shared" si="5"/>
        <v>0</v>
      </c>
      <c r="H24" s="65">
        <f t="shared" ref="H24:H29" si="6">IF(G24&lt;&gt;0,0.095,0)</f>
        <v>0</v>
      </c>
      <c r="I24" s="66" t="str">
        <f>IF($C$18="da",G24*1.095,"")</f>
        <v/>
      </c>
      <c r="K24" s="47"/>
      <c r="L24" s="22" t="s">
        <v>54</v>
      </c>
      <c r="M24" s="20">
        <v>166.66666666666666</v>
      </c>
      <c r="N24" s="23">
        <v>200</v>
      </c>
      <c r="O24" s="24">
        <v>200</v>
      </c>
      <c r="P24" s="25">
        <v>1415.38</v>
      </c>
      <c r="Q24" s="103">
        <v>1415.93</v>
      </c>
      <c r="R24" s="20">
        <f t="shared" si="0"/>
        <v>0</v>
      </c>
      <c r="S24" s="108">
        <f t="shared" si="1"/>
        <v>0</v>
      </c>
      <c r="T24" s="20">
        <f t="shared" si="2"/>
        <v>0</v>
      </c>
      <c r="U24" s="108">
        <f t="shared" si="3"/>
        <v>0</v>
      </c>
      <c r="V24" s="20">
        <f t="shared" si="4"/>
        <v>0</v>
      </c>
      <c r="W24" s="20">
        <v>839.61</v>
      </c>
      <c r="Y24" s="4">
        <v>13</v>
      </c>
      <c r="Z24" s="22" t="s">
        <v>54</v>
      </c>
      <c r="AA24" s="20">
        <v>74.989999999999995</v>
      </c>
      <c r="AB24" s="20">
        <v>1833.61</v>
      </c>
      <c r="AC24" s="95"/>
      <c r="AD24" s="20">
        <v>127.55</v>
      </c>
      <c r="AE24" s="20">
        <v>165.03</v>
      </c>
      <c r="AF24" s="20"/>
      <c r="AG24" s="20"/>
      <c r="AH24" s="20"/>
      <c r="AI24" s="20"/>
      <c r="AK24" s="20">
        <v>58.35</v>
      </c>
      <c r="AL24" s="26"/>
      <c r="AM24" s="20">
        <v>58.35</v>
      </c>
      <c r="AN24" s="20">
        <v>58.35</v>
      </c>
      <c r="AO24" s="20"/>
      <c r="AP24" s="20"/>
      <c r="AQ24" s="20"/>
      <c r="AR24" s="20"/>
      <c r="AT24" s="20">
        <v>0</v>
      </c>
      <c r="AU24" s="26"/>
      <c r="AV24" s="20">
        <v>0</v>
      </c>
    </row>
    <row r="25" spans="2:49" ht="15.75" customHeight="1" x14ac:dyDescent="0.2">
      <c r="B25" s="60" t="s">
        <v>111</v>
      </c>
      <c r="C25" s="61" t="s">
        <v>31</v>
      </c>
      <c r="D25" s="62">
        <f>IF($C$9="Medvode",0,IF($C$18="Da",1,0))</f>
        <v>0</v>
      </c>
      <c r="E25" s="81">
        <f>IF(D25=0,0,IF($C$9&lt;&gt;"",VLOOKUP($C$13,$L$13:$W$28,7,FALSE),0))</f>
        <v>0</v>
      </c>
      <c r="F25" s="81">
        <f>-IF(D25=0,0,IF($C$15="gospodinjstvo",VLOOKUP($C$13,$L$13:$W$28,8,FALSE),0))</f>
        <v>0</v>
      </c>
      <c r="G25" s="67">
        <f t="shared" si="5"/>
        <v>0</v>
      </c>
      <c r="H25" s="68">
        <f t="shared" si="6"/>
        <v>0</v>
      </c>
      <c r="I25" s="69" t="str">
        <f>IF($C$18="da",G25*1.095,"")</f>
        <v/>
      </c>
      <c r="K25" s="47"/>
      <c r="L25" s="22" t="s">
        <v>51</v>
      </c>
      <c r="M25" s="20">
        <v>10</v>
      </c>
      <c r="N25" s="28" t="s">
        <v>34</v>
      </c>
      <c r="O25" s="24">
        <v>50</v>
      </c>
      <c r="P25" s="25">
        <v>106.15</v>
      </c>
      <c r="Q25" s="103">
        <v>106.2</v>
      </c>
      <c r="R25" s="20">
        <f t="shared" si="0"/>
        <v>0</v>
      </c>
      <c r="S25" s="108">
        <f t="shared" si="1"/>
        <v>0</v>
      </c>
      <c r="T25" s="20">
        <f t="shared" si="2"/>
        <v>0</v>
      </c>
      <c r="U25" s="108">
        <f t="shared" si="3"/>
        <v>0</v>
      </c>
      <c r="V25" s="20">
        <f t="shared" si="4"/>
        <v>0</v>
      </c>
      <c r="W25" s="20">
        <v>62.97</v>
      </c>
      <c r="Y25" s="4">
        <v>14</v>
      </c>
      <c r="Z25" s="22" t="s">
        <v>51</v>
      </c>
      <c r="AA25" s="20">
        <v>74.989999999999995</v>
      </c>
      <c r="AB25" s="20">
        <v>137.52000000000001</v>
      </c>
      <c r="AC25" s="95"/>
      <c r="AD25" s="20">
        <v>127.55</v>
      </c>
      <c r="AE25" s="20">
        <v>165.03</v>
      </c>
      <c r="AF25" s="20"/>
      <c r="AG25" s="20"/>
      <c r="AH25" s="20"/>
      <c r="AI25" s="20"/>
      <c r="AK25" s="20">
        <v>58.35</v>
      </c>
      <c r="AL25" s="26">
        <v>38.377499999999998</v>
      </c>
      <c r="AM25" s="20">
        <v>58.35</v>
      </c>
      <c r="AN25" s="20">
        <v>58.35</v>
      </c>
      <c r="AO25" s="20"/>
      <c r="AP25" s="20"/>
      <c r="AQ25" s="20"/>
      <c r="AR25" s="20"/>
      <c r="AT25" s="20">
        <v>0</v>
      </c>
      <c r="AU25" s="26"/>
      <c r="AV25" s="20">
        <v>0</v>
      </c>
    </row>
    <row r="26" spans="2:49" ht="15.75" customHeight="1" x14ac:dyDescent="0.2">
      <c r="B26" s="60" t="s">
        <v>112</v>
      </c>
      <c r="C26" s="61" t="s">
        <v>83</v>
      </c>
      <c r="D26" s="62">
        <f>IF($C$9="Medvode",0,IF($C$18="da",IF($C$11&lt;&gt;"",$C$11,0),0))</f>
        <v>0</v>
      </c>
      <c r="E26" s="63">
        <f>IF($D$26=0,0,IF($C$15="",0,IF($C$15="gospodinjstvo",VLOOKUP($C$9,$L$40:$Q$49,4,FALSE),VLOOKUP($C$9,$L$51:$Q$60,4,FALSE))))</f>
        <v>0</v>
      </c>
      <c r="F26" s="81"/>
      <c r="G26" s="67">
        <f t="shared" si="5"/>
        <v>0</v>
      </c>
      <c r="H26" s="68">
        <f t="shared" si="6"/>
        <v>0</v>
      </c>
      <c r="I26" s="69" t="str">
        <f>IF($C$18="da",G26*1.095,"")</f>
        <v/>
      </c>
      <c r="K26" s="47"/>
      <c r="L26" s="22" t="s">
        <v>52</v>
      </c>
      <c r="M26" s="20">
        <v>33.33</v>
      </c>
      <c r="N26" s="28" t="s">
        <v>35</v>
      </c>
      <c r="O26" s="24">
        <v>80</v>
      </c>
      <c r="P26" s="25">
        <v>353.85</v>
      </c>
      <c r="Q26" s="103">
        <v>353.98</v>
      </c>
      <c r="R26" s="20">
        <f t="shared" si="0"/>
        <v>0</v>
      </c>
      <c r="S26" s="108">
        <f t="shared" si="1"/>
        <v>0</v>
      </c>
      <c r="T26" s="20">
        <f t="shared" si="2"/>
        <v>0</v>
      </c>
      <c r="U26" s="108">
        <f t="shared" si="3"/>
        <v>0</v>
      </c>
      <c r="V26" s="20">
        <f t="shared" si="4"/>
        <v>0</v>
      </c>
      <c r="W26" s="20">
        <v>209.9</v>
      </c>
      <c r="Y26" s="4">
        <v>15</v>
      </c>
      <c r="Z26" s="22" t="s">
        <v>52</v>
      </c>
      <c r="AA26" s="20">
        <v>74.989999999999995</v>
      </c>
      <c r="AB26" s="20">
        <v>458.4</v>
      </c>
      <c r="AC26" s="95"/>
      <c r="AD26" s="20">
        <v>127.55</v>
      </c>
      <c r="AE26" s="20">
        <v>165.03</v>
      </c>
      <c r="AF26" s="20"/>
      <c r="AG26" s="20"/>
      <c r="AH26" s="20"/>
      <c r="AI26" s="20"/>
      <c r="AK26" s="20">
        <v>58.35</v>
      </c>
      <c r="AL26" s="26">
        <v>127.925</v>
      </c>
      <c r="AM26" s="20">
        <v>58.35</v>
      </c>
      <c r="AN26" s="20">
        <v>58.35</v>
      </c>
      <c r="AO26" s="20"/>
      <c r="AP26" s="20"/>
      <c r="AQ26" s="20"/>
      <c r="AR26" s="20"/>
      <c r="AT26" s="20">
        <v>0</v>
      </c>
      <c r="AU26" s="26"/>
      <c r="AV26" s="20">
        <v>0</v>
      </c>
    </row>
    <row r="27" spans="2:49" ht="15.75" customHeight="1" thickBot="1" x14ac:dyDescent="0.25">
      <c r="B27" s="70" t="s">
        <v>113</v>
      </c>
      <c r="C27" s="71" t="s">
        <v>31</v>
      </c>
      <c r="D27" s="72">
        <f>IF($C$9="Medvode",0,IF($C$18="Da",1,0))</f>
        <v>0</v>
      </c>
      <c r="E27" s="82">
        <f>IF(D27=0,0,IF($C$9&lt;&gt;"",VLOOKUP($C$13,$L$13:$V$28,9,FALSE),0))</f>
        <v>0</v>
      </c>
      <c r="F27" s="82">
        <f>-IF(D27=0,0,IF($C$15="gospodinjstvo",VLOOKUP($C$13,$L$13:$W$28,10,FALSE),0))</f>
        <v>0</v>
      </c>
      <c r="G27" s="75">
        <f t="shared" si="5"/>
        <v>0</v>
      </c>
      <c r="H27" s="76">
        <f t="shared" si="6"/>
        <v>0</v>
      </c>
      <c r="I27" s="77" t="str">
        <f>IF($C$18="da",G27*1.095,"")</f>
        <v/>
      </c>
      <c r="K27" s="47"/>
      <c r="L27" s="22" t="s">
        <v>53</v>
      </c>
      <c r="M27" s="20">
        <v>50</v>
      </c>
      <c r="N27" s="28" t="s">
        <v>36</v>
      </c>
      <c r="O27" s="24">
        <v>100</v>
      </c>
      <c r="P27" s="25">
        <v>707.69</v>
      </c>
      <c r="Q27" s="103">
        <v>707.97</v>
      </c>
      <c r="R27" s="20">
        <f t="shared" si="0"/>
        <v>0</v>
      </c>
      <c r="S27" s="108">
        <f t="shared" si="1"/>
        <v>0</v>
      </c>
      <c r="T27" s="20">
        <f t="shared" si="2"/>
        <v>0</v>
      </c>
      <c r="U27" s="108">
        <f t="shared" si="3"/>
        <v>0</v>
      </c>
      <c r="V27" s="20">
        <f t="shared" si="4"/>
        <v>0</v>
      </c>
      <c r="W27" s="20">
        <v>419.81</v>
      </c>
      <c r="Y27" s="4">
        <v>16</v>
      </c>
      <c r="Z27" s="22" t="s">
        <v>53</v>
      </c>
      <c r="AA27" s="20">
        <v>74.989999999999995</v>
      </c>
      <c r="AB27" s="20">
        <v>916.8</v>
      </c>
      <c r="AC27" s="95"/>
      <c r="AD27" s="20">
        <v>127.55</v>
      </c>
      <c r="AE27" s="20">
        <v>165.03</v>
      </c>
      <c r="AF27" s="20"/>
      <c r="AG27" s="20"/>
      <c r="AH27" s="20"/>
      <c r="AI27" s="20"/>
      <c r="AK27" s="20">
        <v>58.35</v>
      </c>
      <c r="AL27" s="26">
        <v>255.85</v>
      </c>
      <c r="AM27" s="20">
        <v>58.35</v>
      </c>
      <c r="AN27" s="20">
        <v>58.35</v>
      </c>
      <c r="AO27" s="20"/>
      <c r="AP27" s="20"/>
      <c r="AQ27" s="20"/>
      <c r="AR27" s="20"/>
      <c r="AT27" s="20">
        <v>0</v>
      </c>
      <c r="AU27" s="26"/>
      <c r="AV27" s="20">
        <v>0</v>
      </c>
    </row>
    <row r="28" spans="2:49" ht="15.75" customHeight="1" x14ac:dyDescent="0.2">
      <c r="B28" s="57" t="s">
        <v>102</v>
      </c>
      <c r="C28" s="58" t="s">
        <v>83</v>
      </c>
      <c r="D28" s="83">
        <f>IF(C9&lt;&gt;"",IF(Q31=1,IF($C$18="Ne",$C$11,IF($C$18="mala ČN",$C$11,0)),0),0)</f>
        <v>0</v>
      </c>
      <c r="E28" s="59">
        <f>IF($D$28=0,0,IF($C$15="",0,IF($C$15="gospodinjstvo",VLOOKUP($C$9,$L$40:$R$49,7,FALSE),VLOOKUP($C$9,$L$51:$R$60,7,FALSE))))</f>
        <v>0</v>
      </c>
      <c r="F28" s="92"/>
      <c r="G28" s="64">
        <f t="shared" ref="G28:G29" si="7">(D28*E28)</f>
        <v>0</v>
      </c>
      <c r="H28" s="65">
        <f t="shared" si="6"/>
        <v>0</v>
      </c>
      <c r="I28" s="66">
        <f>IF($C$18&lt;&gt;"da",G28*1.095,"")</f>
        <v>0</v>
      </c>
      <c r="K28" s="47"/>
      <c r="L28" s="22" t="s">
        <v>62</v>
      </c>
      <c r="M28" s="29">
        <v>100</v>
      </c>
      <c r="N28" s="30" t="s">
        <v>37</v>
      </c>
      <c r="O28" s="31">
        <v>150</v>
      </c>
      <c r="P28" s="32">
        <v>1415.38</v>
      </c>
      <c r="Q28" s="104">
        <v>1415.93</v>
      </c>
      <c r="R28" s="29">
        <f t="shared" si="0"/>
        <v>0</v>
      </c>
      <c r="S28" s="108">
        <f t="shared" si="1"/>
        <v>0</v>
      </c>
      <c r="T28" s="29">
        <f t="shared" si="2"/>
        <v>0</v>
      </c>
      <c r="U28" s="108">
        <f t="shared" si="3"/>
        <v>0</v>
      </c>
      <c r="V28" s="29">
        <f t="shared" si="4"/>
        <v>0</v>
      </c>
      <c r="W28" s="29">
        <v>839.61</v>
      </c>
      <c r="Y28" s="4">
        <v>17</v>
      </c>
      <c r="Z28" s="22" t="s">
        <v>62</v>
      </c>
      <c r="AA28" s="20">
        <v>74.989999999999995</v>
      </c>
      <c r="AB28" s="29">
        <v>1833.61</v>
      </c>
      <c r="AC28" s="96"/>
      <c r="AD28" s="20">
        <v>127.55</v>
      </c>
      <c r="AE28" s="20">
        <v>165.03</v>
      </c>
      <c r="AF28" s="29"/>
      <c r="AG28" s="29"/>
      <c r="AH28" s="29"/>
      <c r="AI28" s="29"/>
      <c r="AK28" s="20">
        <v>58.35</v>
      </c>
      <c r="AL28" s="26"/>
      <c r="AM28" s="20">
        <v>58.35</v>
      </c>
      <c r="AN28" s="20">
        <v>58.35</v>
      </c>
      <c r="AO28" s="29"/>
      <c r="AP28" s="29"/>
      <c r="AQ28" s="29"/>
      <c r="AR28" s="29"/>
      <c r="AT28" s="20">
        <v>0</v>
      </c>
      <c r="AU28" s="26"/>
      <c r="AV28" s="20">
        <v>0</v>
      </c>
    </row>
    <row r="29" spans="2:49" ht="15.75" customHeight="1" thickBot="1" x14ac:dyDescent="0.25">
      <c r="B29" s="70" t="s">
        <v>103</v>
      </c>
      <c r="C29" s="71" t="s">
        <v>31</v>
      </c>
      <c r="D29" s="72">
        <f>IF(C9&lt;&gt;"",IF(Q31=1,IF($C$18="Ne",1,IF($C$18="mala ČN",1,0)),0),0)</f>
        <v>0</v>
      </c>
      <c r="E29" s="82">
        <f>IF(D29=0,0,IF($Q$31=1,VLOOKUP($C$9,O32:P38,2,FALSE),0))</f>
        <v>0</v>
      </c>
      <c r="F29" s="82"/>
      <c r="G29" s="75">
        <f t="shared" si="7"/>
        <v>0</v>
      </c>
      <c r="H29" s="76">
        <f t="shared" si="6"/>
        <v>0</v>
      </c>
      <c r="I29" s="77">
        <f>IF($C$18&lt;&gt;"da",G29*1.095,"")</f>
        <v>0</v>
      </c>
      <c r="L29" s="10">
        <v>1</v>
      </c>
      <c r="M29" s="10">
        <v>2</v>
      </c>
      <c r="N29" s="10">
        <v>3</v>
      </c>
      <c r="O29" s="10">
        <v>4</v>
      </c>
      <c r="P29" s="10">
        <v>5</v>
      </c>
      <c r="Q29" s="10">
        <v>6</v>
      </c>
      <c r="R29" s="4">
        <v>7</v>
      </c>
      <c r="S29" s="4">
        <v>8</v>
      </c>
      <c r="T29" s="4">
        <v>9</v>
      </c>
      <c r="U29" s="4">
        <v>10</v>
      </c>
      <c r="V29" s="10">
        <v>11</v>
      </c>
      <c r="W29" s="10">
        <v>12</v>
      </c>
    </row>
    <row r="30" spans="2:49" ht="15.75" customHeight="1" thickBot="1" x14ac:dyDescent="0.25">
      <c r="B30" s="84" t="s">
        <v>104</v>
      </c>
      <c r="C30" s="85" t="s">
        <v>83</v>
      </c>
      <c r="D30" s="86">
        <f>IF($C$9="Medvode",0,IF($C$11&lt;&gt;"",$C$11,0))</f>
        <v>0</v>
      </c>
      <c r="E30" s="87">
        <f>IF($C$9="Medvode",0,IF($C$18="",0,VLOOKUP($C$18,$L$35:$M$37,2,FALSE)))</f>
        <v>0</v>
      </c>
      <c r="F30" s="87"/>
      <c r="G30" s="88">
        <f>(D30*E30)</f>
        <v>0</v>
      </c>
      <c r="H30" s="89">
        <v>0</v>
      </c>
      <c r="I30" s="90">
        <f>(G30)</f>
        <v>0</v>
      </c>
      <c r="Q30" s="10">
        <f>$C$9</f>
        <v>0</v>
      </c>
      <c r="R30" s="4"/>
      <c r="S30" s="4"/>
      <c r="T30" s="7"/>
      <c r="U30" s="7"/>
    </row>
    <row r="31" spans="2:49" ht="15.75" customHeight="1" thickBot="1" x14ac:dyDescent="0.25">
      <c r="B31" s="73" t="s">
        <v>105</v>
      </c>
      <c r="C31" s="74"/>
      <c r="D31" s="74"/>
      <c r="E31" s="74"/>
      <c r="F31" s="74"/>
      <c r="G31" s="78">
        <f>SUM(G22:G30)</f>
        <v>0</v>
      </c>
      <c r="H31" s="78"/>
      <c r="I31" s="79">
        <f>SUM(I22:I30)</f>
        <v>0</v>
      </c>
      <c r="P31" s="34" t="s">
        <v>74</v>
      </c>
      <c r="Q31" s="10" t="e">
        <f>VLOOKUP(Q30,$O$32:$Q$38,3,FALSE)</f>
        <v>#N/A</v>
      </c>
      <c r="R31" s="4"/>
      <c r="S31" s="4"/>
      <c r="T31" s="7" t="str">
        <f>IF(C18="da",IF(C9="Cerklje","ČN Češnjevek",""),"")</f>
        <v/>
      </c>
      <c r="U31" s="7"/>
    </row>
    <row r="32" spans="2:49" ht="15.75" customHeight="1" x14ac:dyDescent="0.2">
      <c r="O32" s="35" t="s">
        <v>42</v>
      </c>
      <c r="P32" s="36">
        <v>2.83</v>
      </c>
      <c r="Q32" s="10">
        <v>1</v>
      </c>
      <c r="T32" s="7" t="str">
        <f>IF(C18="da",IF(C9="Cerklje","ČN Domžale",""),"")</f>
        <v/>
      </c>
      <c r="U32" s="7"/>
      <c r="V32" s="4"/>
      <c r="W32" s="4"/>
      <c r="X32" s="4"/>
      <c r="Y32" s="4"/>
      <c r="AT32" s="4"/>
      <c r="AU32" s="4"/>
      <c r="AV32" s="4"/>
      <c r="AW32" s="4"/>
    </row>
    <row r="33" spans="12:49" ht="15.75" customHeight="1" x14ac:dyDescent="0.2">
      <c r="O33" s="37" t="s">
        <v>77</v>
      </c>
      <c r="P33" s="36"/>
      <c r="Q33" s="10">
        <v>0</v>
      </c>
      <c r="T33" s="4"/>
      <c r="U33" s="4"/>
      <c r="V33" s="4"/>
      <c r="W33" s="4"/>
      <c r="X33" s="4"/>
      <c r="Y33" s="4"/>
      <c r="AT33" s="4"/>
      <c r="AU33" s="4"/>
      <c r="AV33" s="4"/>
      <c r="AW33" s="4"/>
    </row>
    <row r="34" spans="12:49" ht="15.75" customHeight="1" x14ac:dyDescent="0.2">
      <c r="L34" s="4" t="s">
        <v>38</v>
      </c>
      <c r="M34" s="4" t="s">
        <v>39</v>
      </c>
      <c r="O34" s="37" t="s">
        <v>45</v>
      </c>
      <c r="P34" s="91">
        <v>2.83</v>
      </c>
      <c r="Q34" s="10">
        <v>1</v>
      </c>
    </row>
    <row r="35" spans="12:49" ht="15.75" customHeight="1" x14ac:dyDescent="0.2">
      <c r="L35" s="38" t="s">
        <v>1</v>
      </c>
      <c r="M35" s="38">
        <v>5.28E-2</v>
      </c>
      <c r="O35" s="36" t="s">
        <v>43</v>
      </c>
      <c r="P35" s="36">
        <v>2.83</v>
      </c>
      <c r="Q35" s="10">
        <v>1</v>
      </c>
      <c r="S35" s="4" t="s">
        <v>3</v>
      </c>
      <c r="T35" s="4" t="s">
        <v>13</v>
      </c>
      <c r="U35" s="4" t="s">
        <v>14</v>
      </c>
      <c r="V35" s="4"/>
    </row>
    <row r="36" spans="12:49" ht="15.75" customHeight="1" x14ac:dyDescent="0.2">
      <c r="L36" s="38" t="s">
        <v>30</v>
      </c>
      <c r="M36" s="38">
        <v>0.52829999999999999</v>
      </c>
      <c r="O36" s="37" t="s">
        <v>44</v>
      </c>
      <c r="P36" s="36">
        <v>2.83</v>
      </c>
      <c r="Q36" s="10">
        <v>1</v>
      </c>
      <c r="S36" s="4" t="s">
        <v>4</v>
      </c>
      <c r="T36" s="4" t="s">
        <v>15</v>
      </c>
      <c r="U36" s="4" t="s">
        <v>16</v>
      </c>
      <c r="V36" s="4"/>
    </row>
    <row r="37" spans="12:49" ht="15.75" customHeight="1" x14ac:dyDescent="0.2">
      <c r="L37" s="38" t="s">
        <v>63</v>
      </c>
      <c r="M37" s="38">
        <v>5.28E-2</v>
      </c>
      <c r="O37" s="37" t="s">
        <v>46</v>
      </c>
      <c r="P37" s="36">
        <v>2.83</v>
      </c>
      <c r="Q37" s="10">
        <v>1</v>
      </c>
      <c r="S37" s="4" t="s">
        <v>5</v>
      </c>
      <c r="T37" s="4" t="s">
        <v>17</v>
      </c>
      <c r="U37" s="4" t="s">
        <v>18</v>
      </c>
      <c r="V37" s="4"/>
    </row>
    <row r="38" spans="12:49" ht="15.75" customHeight="1" x14ac:dyDescent="0.2">
      <c r="L38" s="22"/>
      <c r="O38" s="37" t="s">
        <v>47</v>
      </c>
      <c r="P38" s="36">
        <v>2.83</v>
      </c>
      <c r="Q38" s="10">
        <v>1</v>
      </c>
      <c r="S38" s="4" t="s">
        <v>6</v>
      </c>
      <c r="T38" s="4" t="s">
        <v>19</v>
      </c>
      <c r="U38" s="4" t="s">
        <v>20</v>
      </c>
      <c r="V38" s="4"/>
    </row>
    <row r="39" spans="12:49" ht="15.75" customHeight="1" x14ac:dyDescent="0.2">
      <c r="S39" s="4" t="s">
        <v>7</v>
      </c>
      <c r="T39" s="4" t="s">
        <v>21</v>
      </c>
      <c r="U39" s="4" t="s">
        <v>22</v>
      </c>
      <c r="V39" s="4"/>
    </row>
    <row r="40" spans="12:49" ht="15.75" customHeight="1" x14ac:dyDescent="0.2">
      <c r="L40" s="34" t="s">
        <v>61</v>
      </c>
      <c r="M40" s="34" t="s">
        <v>11</v>
      </c>
      <c r="N40" s="34" t="s">
        <v>12</v>
      </c>
      <c r="O40" s="34" t="s">
        <v>32</v>
      </c>
      <c r="P40" s="34" t="s">
        <v>107</v>
      </c>
      <c r="Q40" s="34" t="s">
        <v>65</v>
      </c>
      <c r="R40" s="34" t="s">
        <v>75</v>
      </c>
      <c r="S40" s="4" t="s">
        <v>8</v>
      </c>
      <c r="T40" s="4" t="s">
        <v>23</v>
      </c>
      <c r="U40" s="4" t="s">
        <v>24</v>
      </c>
      <c r="V40" s="4"/>
    </row>
    <row r="41" spans="12:49" ht="15.75" customHeight="1" x14ac:dyDescent="0.2">
      <c r="L41" s="39" t="s">
        <v>42</v>
      </c>
      <c r="M41" s="99" t="s">
        <v>115</v>
      </c>
      <c r="N41" s="112" t="s">
        <v>117</v>
      </c>
      <c r="O41" s="40" t="s">
        <v>118</v>
      </c>
      <c r="P41" s="40" t="s">
        <v>114</v>
      </c>
      <c r="Q41" s="40" t="s">
        <v>81</v>
      </c>
      <c r="R41" s="37" t="s">
        <v>116</v>
      </c>
      <c r="S41" s="4" t="s">
        <v>9</v>
      </c>
      <c r="T41" s="4" t="s">
        <v>25</v>
      </c>
      <c r="U41" s="4" t="s">
        <v>26</v>
      </c>
      <c r="V41" s="4"/>
    </row>
    <row r="42" spans="12:49" ht="15.75" customHeight="1" x14ac:dyDescent="0.2">
      <c r="L42" s="41" t="s">
        <v>77</v>
      </c>
      <c r="M42" s="100">
        <v>0.54610000000000003</v>
      </c>
      <c r="N42" s="42"/>
      <c r="O42" s="37"/>
      <c r="P42" s="37"/>
      <c r="Q42" s="37"/>
      <c r="R42" s="37"/>
      <c r="S42" s="4"/>
      <c r="T42" s="4"/>
      <c r="U42" s="4"/>
      <c r="V42" s="4"/>
    </row>
    <row r="43" spans="12:49" ht="15.75" customHeight="1" x14ac:dyDescent="0.2">
      <c r="L43" s="41" t="s">
        <v>45</v>
      </c>
      <c r="M43" s="100">
        <v>0.54610000000000003</v>
      </c>
      <c r="N43" s="37">
        <v>0.54169999999999996</v>
      </c>
      <c r="O43" s="113">
        <v>0.5897</v>
      </c>
      <c r="P43" s="37"/>
      <c r="Q43" s="37"/>
      <c r="R43" s="37">
        <v>0.49690000000000001</v>
      </c>
      <c r="S43" s="4" t="s">
        <v>10</v>
      </c>
      <c r="T43" s="4" t="s">
        <v>27</v>
      </c>
      <c r="U43" s="4" t="s">
        <v>28</v>
      </c>
      <c r="V43" s="4"/>
    </row>
    <row r="44" spans="12:49" ht="15.75" customHeight="1" x14ac:dyDescent="0.2">
      <c r="L44" s="41" t="s">
        <v>79</v>
      </c>
      <c r="M44" s="100"/>
      <c r="N44" s="94"/>
      <c r="O44" s="94"/>
      <c r="P44" s="37"/>
      <c r="Q44" s="37"/>
      <c r="R44" s="37"/>
    </row>
    <row r="45" spans="12:49" ht="15.75" customHeight="1" x14ac:dyDescent="0.2">
      <c r="L45" s="41" t="s">
        <v>80</v>
      </c>
      <c r="M45" s="100"/>
      <c r="N45" s="94"/>
      <c r="O45" s="94"/>
      <c r="P45" s="37"/>
      <c r="Q45" s="37"/>
      <c r="R45" s="37"/>
      <c r="S45" s="38" t="s">
        <v>60</v>
      </c>
      <c r="T45" s="43" t="s">
        <v>11</v>
      </c>
      <c r="U45" s="34" t="s">
        <v>12</v>
      </c>
      <c r="V45" s="34" t="s">
        <v>32</v>
      </c>
    </row>
    <row r="46" spans="12:49" ht="15.75" customHeight="1" x14ac:dyDescent="0.2">
      <c r="L46" s="41" t="s">
        <v>43</v>
      </c>
      <c r="M46" s="100">
        <v>0.54610000000000003</v>
      </c>
      <c r="N46" s="37">
        <v>0.31559999999999999</v>
      </c>
      <c r="O46" s="37">
        <v>0.63660000000000005</v>
      </c>
      <c r="P46" s="37"/>
      <c r="Q46" s="37"/>
      <c r="R46" s="37">
        <v>0.49690000000000001</v>
      </c>
      <c r="S46" s="4" t="s">
        <v>61</v>
      </c>
      <c r="T46" s="44">
        <v>0.3281</v>
      </c>
      <c r="U46" s="45">
        <v>0.13800000000000001</v>
      </c>
      <c r="V46" s="45">
        <v>0.1358</v>
      </c>
    </row>
    <row r="47" spans="12:49" ht="15.75" customHeight="1" x14ac:dyDescent="0.2">
      <c r="L47" s="41" t="s">
        <v>44</v>
      </c>
      <c r="M47" s="100">
        <v>0.54610000000000003</v>
      </c>
      <c r="N47" s="37">
        <v>0.21890000000000001</v>
      </c>
      <c r="O47" s="37">
        <v>0.63660000000000005</v>
      </c>
      <c r="P47" s="37"/>
      <c r="Q47" s="37"/>
      <c r="R47" s="37">
        <v>0.49690000000000001</v>
      </c>
      <c r="S47" s="4" t="s">
        <v>87</v>
      </c>
      <c r="T47" s="44">
        <v>0.67490000000000006</v>
      </c>
      <c r="U47" s="45">
        <v>0.2009</v>
      </c>
      <c r="V47" s="45">
        <v>0.23350000000000001</v>
      </c>
    </row>
    <row r="48" spans="12:49" ht="15.75" customHeight="1" x14ac:dyDescent="0.2">
      <c r="L48" s="41" t="s">
        <v>46</v>
      </c>
      <c r="M48" s="100">
        <v>0.54610000000000003</v>
      </c>
      <c r="N48" s="37">
        <v>0.43469999999999998</v>
      </c>
      <c r="O48" s="37">
        <v>0.63660000000000005</v>
      </c>
      <c r="P48" s="37"/>
      <c r="Q48" s="37"/>
      <c r="R48" s="37">
        <v>0.49690000000000001</v>
      </c>
    </row>
    <row r="49" spans="12:21" ht="15.75" customHeight="1" x14ac:dyDescent="0.2">
      <c r="L49" s="46" t="s">
        <v>47</v>
      </c>
      <c r="M49" s="100">
        <v>0.54610000000000003</v>
      </c>
      <c r="N49" s="37">
        <v>0.71950000000000003</v>
      </c>
      <c r="O49" s="37">
        <v>0.63660000000000005</v>
      </c>
      <c r="P49" s="37"/>
      <c r="Q49" s="37"/>
      <c r="R49" s="37">
        <v>0.49690000000000001</v>
      </c>
    </row>
    <row r="50" spans="12:21" ht="15.75" customHeight="1" x14ac:dyDescent="0.2">
      <c r="R50" s="47"/>
      <c r="S50" s="10" t="s">
        <v>40</v>
      </c>
    </row>
    <row r="51" spans="12:21" ht="15.75" customHeight="1" x14ac:dyDescent="0.2">
      <c r="L51" s="34" t="s">
        <v>66</v>
      </c>
      <c r="M51" s="34" t="s">
        <v>11</v>
      </c>
      <c r="N51" s="34" t="s">
        <v>12</v>
      </c>
      <c r="O51" s="34" t="s">
        <v>32</v>
      </c>
      <c r="P51" s="34"/>
      <c r="Q51" s="34" t="s">
        <v>65</v>
      </c>
      <c r="R51" s="36" t="s">
        <v>75</v>
      </c>
      <c r="S51" s="10" t="s">
        <v>77</v>
      </c>
    </row>
    <row r="52" spans="12:21" ht="15.75" customHeight="1" x14ac:dyDescent="0.2">
      <c r="L52" s="39" t="s">
        <v>42</v>
      </c>
      <c r="M52" s="99" t="s">
        <v>115</v>
      </c>
      <c r="N52" s="112" t="s">
        <v>117</v>
      </c>
      <c r="O52" s="40" t="s">
        <v>118</v>
      </c>
      <c r="P52" s="40" t="s">
        <v>29</v>
      </c>
      <c r="Q52" s="40" t="s">
        <v>81</v>
      </c>
      <c r="R52" s="37" t="s">
        <v>116</v>
      </c>
      <c r="S52" s="10" t="s">
        <v>71</v>
      </c>
      <c r="U52" s="10">
        <v>0.16539999999999999</v>
      </c>
    </row>
    <row r="53" spans="12:21" ht="15.75" customHeight="1" x14ac:dyDescent="0.2">
      <c r="L53" s="41" t="s">
        <v>77</v>
      </c>
      <c r="M53" s="100">
        <v>0.54610000000000003</v>
      </c>
      <c r="N53" s="42"/>
      <c r="O53" s="37"/>
      <c r="P53" s="37"/>
      <c r="Q53" s="37"/>
      <c r="R53" s="111"/>
      <c r="S53" s="10" t="s">
        <v>67</v>
      </c>
      <c r="U53" s="10">
        <v>0.58560000000000001</v>
      </c>
    </row>
    <row r="54" spans="12:21" ht="15.75" customHeight="1" x14ac:dyDescent="0.2">
      <c r="L54" s="41" t="s">
        <v>45</v>
      </c>
      <c r="M54" s="100">
        <v>0.54610000000000003</v>
      </c>
      <c r="N54" s="37">
        <v>0.54169999999999996</v>
      </c>
      <c r="O54" s="113">
        <v>0.5897</v>
      </c>
      <c r="P54" s="37"/>
      <c r="Q54" s="37"/>
      <c r="R54" s="111">
        <v>0.49690000000000001</v>
      </c>
      <c r="S54" s="10" t="s">
        <v>68</v>
      </c>
    </row>
    <row r="55" spans="12:21" ht="15.75" customHeight="1" x14ac:dyDescent="0.2">
      <c r="L55" s="41" t="s">
        <v>79</v>
      </c>
      <c r="M55" s="48"/>
      <c r="N55" s="94"/>
      <c r="O55" s="94"/>
      <c r="P55" s="37"/>
      <c r="Q55" s="37"/>
      <c r="R55" s="111"/>
      <c r="S55" s="10" t="s">
        <v>69</v>
      </c>
    </row>
    <row r="56" spans="12:21" ht="15.75" customHeight="1" x14ac:dyDescent="0.2">
      <c r="L56" s="41" t="s">
        <v>80</v>
      </c>
      <c r="M56" s="48"/>
      <c r="N56" s="94"/>
      <c r="O56" s="94"/>
      <c r="P56" s="37"/>
      <c r="Q56" s="37"/>
      <c r="R56" s="111"/>
      <c r="S56" s="10" t="s">
        <v>70</v>
      </c>
    </row>
    <row r="57" spans="12:21" ht="15.75" customHeight="1" x14ac:dyDescent="0.2">
      <c r="L57" s="41" t="s">
        <v>43</v>
      </c>
      <c r="M57" s="100">
        <v>0.54610000000000003</v>
      </c>
      <c r="N57" s="37">
        <v>0.31559999999999999</v>
      </c>
      <c r="O57" s="37">
        <v>0.63660000000000005</v>
      </c>
      <c r="P57" s="37"/>
      <c r="Q57" s="37"/>
      <c r="R57" s="111">
        <v>0.49690000000000001</v>
      </c>
    </row>
    <row r="58" spans="12:21" ht="15.75" customHeight="1" x14ac:dyDescent="0.2">
      <c r="L58" s="41" t="s">
        <v>44</v>
      </c>
      <c r="M58" s="100">
        <v>0.54610000000000003</v>
      </c>
      <c r="N58" s="37">
        <v>0.21890000000000001</v>
      </c>
      <c r="O58" s="37">
        <v>0.63660000000000005</v>
      </c>
      <c r="P58" s="37"/>
      <c r="Q58" s="37"/>
      <c r="R58" s="111">
        <v>0.49690000000000001</v>
      </c>
    </row>
    <row r="59" spans="12:21" ht="15.75" customHeight="1" x14ac:dyDescent="0.2">
      <c r="L59" s="41" t="s">
        <v>46</v>
      </c>
      <c r="M59" s="100">
        <v>0.54610000000000003</v>
      </c>
      <c r="N59" s="37">
        <v>0.43469999999999998</v>
      </c>
      <c r="O59" s="37">
        <v>0.63660000000000005</v>
      </c>
      <c r="P59" s="37"/>
      <c r="Q59" s="37"/>
      <c r="R59" s="111">
        <v>0.49690000000000001</v>
      </c>
    </row>
    <row r="60" spans="12:21" ht="15.75" customHeight="1" x14ac:dyDescent="0.2">
      <c r="L60" s="46" t="s">
        <v>47</v>
      </c>
      <c r="M60" s="100">
        <v>0.54610000000000003</v>
      </c>
      <c r="N60" s="37">
        <v>0.71950000000000003</v>
      </c>
      <c r="O60" s="37">
        <v>0.63660000000000005</v>
      </c>
      <c r="P60" s="37"/>
      <c r="Q60" s="37"/>
      <c r="R60" s="111">
        <v>0.49690000000000001</v>
      </c>
    </row>
    <row r="61" spans="12:21" ht="15.75" customHeight="1" x14ac:dyDescent="0.2">
      <c r="L61" s="22"/>
    </row>
    <row r="62" spans="12:21" ht="15.75" customHeight="1" x14ac:dyDescent="0.2">
      <c r="L62" s="10" t="s">
        <v>33</v>
      </c>
    </row>
    <row r="63" spans="12:21" ht="15.75" customHeight="1" x14ac:dyDescent="0.2">
      <c r="L63" s="10">
        <v>15</v>
      </c>
      <c r="M63" s="10" t="s">
        <v>3</v>
      </c>
      <c r="N63" s="10">
        <v>15</v>
      </c>
      <c r="O63" s="10">
        <v>1.544</v>
      </c>
      <c r="P63" s="49">
        <v>8.5000000000000006E-2</v>
      </c>
      <c r="Q63" s="10">
        <v>1.6752</v>
      </c>
    </row>
    <row r="64" spans="12:21" ht="15.75" customHeight="1" x14ac:dyDescent="0.2">
      <c r="L64" s="10">
        <v>20</v>
      </c>
      <c r="M64" s="10" t="s">
        <v>4</v>
      </c>
      <c r="N64" s="10">
        <v>20</v>
      </c>
      <c r="O64" s="10">
        <v>1.544</v>
      </c>
      <c r="P64" s="49">
        <v>8.5000000000000006E-2</v>
      </c>
      <c r="Q64" s="10">
        <v>1.6752</v>
      </c>
    </row>
    <row r="65" spans="12:17" ht="15.75" customHeight="1" x14ac:dyDescent="0.2">
      <c r="L65" s="10">
        <v>25</v>
      </c>
      <c r="M65" s="10" t="s">
        <v>5</v>
      </c>
      <c r="N65" s="10">
        <v>25</v>
      </c>
      <c r="O65" s="10">
        <v>2.0865</v>
      </c>
      <c r="P65" s="49">
        <v>8.5000000000000006E-2</v>
      </c>
      <c r="Q65" s="10">
        <v>2.2637999999999998</v>
      </c>
    </row>
    <row r="66" spans="12:17" ht="15.75" customHeight="1" x14ac:dyDescent="0.2">
      <c r="L66" s="10">
        <v>30</v>
      </c>
      <c r="M66" s="10" t="s">
        <v>5</v>
      </c>
      <c r="N66" s="10">
        <v>30</v>
      </c>
      <c r="O66" s="10">
        <v>2.4203000000000001</v>
      </c>
      <c r="P66" s="49">
        <v>8.5000000000000006E-2</v>
      </c>
      <c r="Q66" s="10">
        <v>2.6259999999999999</v>
      </c>
    </row>
    <row r="67" spans="12:17" ht="15.75" customHeight="1" x14ac:dyDescent="0.2">
      <c r="L67" s="10">
        <v>40</v>
      </c>
      <c r="M67" s="10" t="s">
        <v>6</v>
      </c>
      <c r="N67" s="10">
        <v>40</v>
      </c>
      <c r="O67" s="10">
        <v>3.0880000000000001</v>
      </c>
      <c r="P67" s="49">
        <v>8.5000000000000006E-2</v>
      </c>
      <c r="Q67" s="10">
        <v>3.3504</v>
      </c>
    </row>
    <row r="68" spans="12:17" ht="15.75" customHeight="1" x14ac:dyDescent="0.2">
      <c r="L68" s="10">
        <v>50</v>
      </c>
      <c r="M68" s="10" t="s">
        <v>7</v>
      </c>
      <c r="N68" s="10">
        <v>50</v>
      </c>
      <c r="O68" s="10">
        <v>7.3442999999999996</v>
      </c>
      <c r="P68" s="49">
        <v>8.5000000000000006E-2</v>
      </c>
      <c r="Q68" s="10">
        <v>7.9686000000000003</v>
      </c>
    </row>
    <row r="69" spans="12:17" ht="15.75" customHeight="1" x14ac:dyDescent="0.2">
      <c r="L69" s="10">
        <v>65</v>
      </c>
      <c r="M69" s="10" t="s">
        <v>7</v>
      </c>
      <c r="N69" s="10">
        <v>65</v>
      </c>
      <c r="O69" s="10">
        <v>7.8868</v>
      </c>
      <c r="P69" s="49">
        <v>8.5000000000000006E-2</v>
      </c>
      <c r="Q69" s="10">
        <v>8.5571999999999999</v>
      </c>
    </row>
    <row r="70" spans="12:17" ht="15.75" customHeight="1" x14ac:dyDescent="0.2">
      <c r="L70" s="10">
        <v>80</v>
      </c>
      <c r="M70" s="10" t="s">
        <v>8</v>
      </c>
      <c r="N70" s="10">
        <v>80</v>
      </c>
      <c r="O70" s="10">
        <v>8.5961999999999996</v>
      </c>
      <c r="P70" s="49">
        <v>8.5000000000000006E-2</v>
      </c>
      <c r="Q70" s="10">
        <v>9.3269000000000002</v>
      </c>
    </row>
    <row r="71" spans="12:17" ht="15.75" customHeight="1" x14ac:dyDescent="0.2">
      <c r="L71" s="10">
        <v>100</v>
      </c>
      <c r="M71" s="10" t="s">
        <v>9</v>
      </c>
      <c r="N71" s="10">
        <v>100</v>
      </c>
      <c r="O71" s="10">
        <v>9.5143000000000004</v>
      </c>
      <c r="P71" s="49">
        <v>8.5000000000000006E-2</v>
      </c>
      <c r="Q71" s="10">
        <v>10.323</v>
      </c>
    </row>
    <row r="72" spans="12:17" ht="15.75" customHeight="1" x14ac:dyDescent="0.2">
      <c r="L72" s="10">
        <v>150</v>
      </c>
      <c r="M72" s="10" t="s">
        <v>10</v>
      </c>
      <c r="N72" s="10">
        <v>150</v>
      </c>
      <c r="O72" s="10">
        <v>16.7334</v>
      </c>
      <c r="P72" s="49">
        <v>8.5000000000000006E-2</v>
      </c>
      <c r="Q72" s="10">
        <v>18.155799999999999</v>
      </c>
    </row>
    <row r="73" spans="12:17" ht="15.75" customHeight="1" x14ac:dyDescent="0.2">
      <c r="L73" s="10">
        <v>200</v>
      </c>
      <c r="M73" s="10" t="s">
        <v>10</v>
      </c>
      <c r="N73" s="10">
        <v>200</v>
      </c>
      <c r="O73" s="10">
        <v>21.240200000000002</v>
      </c>
      <c r="P73" s="49">
        <v>8.5000000000000006E-2</v>
      </c>
      <c r="Q73" s="10">
        <v>23.0456</v>
      </c>
    </row>
    <row r="74" spans="12:17" ht="15.75" customHeight="1" x14ac:dyDescent="0.2">
      <c r="L74" s="50" t="s">
        <v>34</v>
      </c>
      <c r="M74" s="10" t="s">
        <v>7</v>
      </c>
      <c r="N74" s="10">
        <v>50</v>
      </c>
      <c r="O74" s="10">
        <v>24.536799999999999</v>
      </c>
      <c r="P74" s="49">
        <v>8.5000000000000006E-2</v>
      </c>
      <c r="Q74" s="10">
        <v>26.622399999999999</v>
      </c>
    </row>
    <row r="75" spans="12:17" ht="15.75" customHeight="1" x14ac:dyDescent="0.2">
      <c r="L75" s="50" t="s">
        <v>35</v>
      </c>
      <c r="M75" s="10" t="s">
        <v>8</v>
      </c>
      <c r="N75" s="10">
        <v>80</v>
      </c>
      <c r="O75" s="10">
        <v>26.664999999999999</v>
      </c>
      <c r="P75" s="49">
        <v>8.5000000000000006E-2</v>
      </c>
      <c r="Q75" s="10">
        <v>28.9315</v>
      </c>
    </row>
    <row r="76" spans="12:17" ht="15.75" customHeight="1" x14ac:dyDescent="0.2">
      <c r="L76" s="50" t="s">
        <v>36</v>
      </c>
      <c r="M76" s="10" t="s">
        <v>9</v>
      </c>
      <c r="N76" s="10">
        <v>100</v>
      </c>
      <c r="O76" s="10">
        <v>29.8782</v>
      </c>
      <c r="P76" s="49">
        <v>8.5000000000000006E-2</v>
      </c>
      <c r="Q76" s="10">
        <v>32.4178</v>
      </c>
    </row>
    <row r="77" spans="12:17" ht="15.75" customHeight="1" x14ac:dyDescent="0.2">
      <c r="L77" s="50" t="s">
        <v>37</v>
      </c>
      <c r="M77" s="10" t="s">
        <v>10</v>
      </c>
      <c r="N77" s="10">
        <v>150</v>
      </c>
      <c r="O77" s="10">
        <v>52.370199999999997</v>
      </c>
      <c r="P77" s="49">
        <v>8.5000000000000006E-2</v>
      </c>
      <c r="Q77" s="10">
        <v>56.8217</v>
      </c>
    </row>
    <row r="78" spans="12:17" ht="15.75" customHeight="1" x14ac:dyDescent="0.2"/>
    <row r="79" spans="12:17" ht="15.75" customHeight="1" x14ac:dyDescent="0.2"/>
    <row r="80" spans="12:1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</sheetData>
  <sheetProtection algorithmName="SHA-512" hashValue="Gt+hBbtxcRywHq7ZAkItSgJRcbzRKJombImrZd6zRuNifo1jiXXpea49RaXCdGCQdj+W9ppPTQBzlQZIpXu5wQ==" saltValue="i+GVWWb3lYI09sQ2rdANnw==" spinCount="100000" sheet="1" objects="1" scenarios="1"/>
  <protectedRanges>
    <protectedRange sqref="C13" name="Obseg2"/>
    <protectedRange sqref="C18" name="Obseg1"/>
    <protectedRange sqref="C11 C9" name="Obseg3"/>
    <protectedRange sqref="C15" name="Obseg5"/>
  </protectedRanges>
  <phoneticPr fontId="0" type="noConversion"/>
  <conditionalFormatting sqref="D22:I30">
    <cfRule type="cellIs" dxfId="1" priority="1" stopIfTrue="1" operator="equal">
      <formula>0</formula>
    </cfRule>
  </conditionalFormatting>
  <conditionalFormatting sqref="F13 H13">
    <cfRule type="cellIs" dxfId="0" priority="18" stopIfTrue="1" operator="equal">
      <formula>0</formula>
    </cfRule>
  </conditionalFormatting>
  <dataValidations count="5">
    <dataValidation type="list" allowBlank="1" showInputMessage="1" showErrorMessage="1" sqref="C18" xr:uid="{00000000-0002-0000-0000-000000000000}">
      <formula1>$L$35:$L$37</formula1>
    </dataValidation>
    <dataValidation type="list" allowBlank="1" showInputMessage="1" showErrorMessage="1" sqref="C13" xr:uid="{00000000-0002-0000-0000-000001000000}">
      <formula1>$L$14:$L$28</formula1>
    </dataValidation>
    <dataValidation type="whole" operator="greaterThanOrEqual" allowBlank="1" showInputMessage="1" showErrorMessage="1" sqref="C11" xr:uid="{00000000-0002-0000-0000-000002000000}">
      <formula1>0</formula1>
    </dataValidation>
    <dataValidation type="list" allowBlank="1" showInputMessage="1" showErrorMessage="1" sqref="C15" xr:uid="{00000000-0002-0000-0000-000003000000}">
      <formula1>$S$46:$S$47</formula1>
    </dataValidation>
    <dataValidation type="list" operator="greaterThanOrEqual" allowBlank="1" showInputMessage="1" showErrorMessage="1" sqref="C9" xr:uid="{00000000-0002-0000-0000-000005000000}">
      <formula1>$L$2:$L$8</formula1>
    </dataValidation>
  </dataValidations>
  <pageMargins left="0.75" right="0.75" top="1" bottom="1" header="0" footer="0"/>
  <pageSetup paperSize="9" orientation="portrait" r:id="rId1"/>
  <headerFooter alignWithMargins="0"/>
  <customProperties>
    <customPr name="SSCSheetTrackingNo" r:id="rId2"/>
  </customProperties>
  <ignoredErrors>
    <ignoredError sqref="D25:D26 G25" formula="1"/>
  </ignoredErrors>
  <webPublishItems count="2">
    <webPublishItem id="21944" divId="izračun voda_21944" sourceType="sheet" destinationFile="C:\@MOJI DOKUMENTI\izračun voda.html"/>
    <webPublishItem id="26791" divId="izračun voda_26791" sourceType="sheet" destinationFile="C:\@MOJI DOKUMENTI\izračun voda.mht"/>
  </webPublishItems>
  <tableParts count="6"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5E9BBAE-3228-4DC1-9A7A-EBAC9C44BD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VODA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Zupan</dc:creator>
  <cp:lastModifiedBy>kskrabec</cp:lastModifiedBy>
  <dcterms:created xsi:type="dcterms:W3CDTF">2009-09-01T06:22:06Z</dcterms:created>
  <dcterms:modified xsi:type="dcterms:W3CDTF">2025-07-16T11:34:16Z</dcterms:modified>
</cp:coreProperties>
</file>